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Смета по ФЕР 421пр (12 гр.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по ФЕР 421пр (12 гр.'!$27:$27</definedName>
    <definedName name="_xlnm.Print_Area" localSheetId="0">'Смета по ФЕР 421пр (12 гр.'!$A$1:$L$676</definedName>
  </definedNames>
  <calcPr fullCalcOnLoad="1"/>
</workbook>
</file>

<file path=xl/sharedStrings.xml><?xml version="1.0" encoding="utf-8"?>
<sst xmlns="http://schemas.openxmlformats.org/spreadsheetml/2006/main" count="7462" uniqueCount="880">
  <si>
    <t>Smeta.RU  (495) 974-1589</t>
  </si>
  <si>
    <t>_PS_</t>
  </si>
  <si>
    <t>Smeta.RU</t>
  </si>
  <si>
    <t/>
  </si>
  <si>
    <t>Новый объект_(Копия)_(Копия)_(Копия)_(Копия)_(Копия)_(Копия)_(Копия)_(Копия)_(Копия)_(Копия)_(Копия)_(Копия)_(Копия)_(Копия)_(Копия)_(Копия)_(Копия)_(Копия)_(Копия)</t>
  </si>
  <si>
    <t>114-06-23 КЛ-1 кВ АВББШВ 4*50 ул.Рахманинова, д.2б_для розыгрыша</t>
  </si>
  <si>
    <t>Сметные нормы списания</t>
  </si>
  <si>
    <t>Коды ценников</t>
  </si>
  <si>
    <t>ТЕР Пензы 2014 (Методики НР (821/пр) и СП (774/пр) от 16.04.2021 г. (1)</t>
  </si>
  <si>
    <t>Версия 1.3.2 ГСН (ГЭСН, ФЕР) и ТЕР (Методики НР (812/пр и 636/пр) и СП (774/пр) с 22.10.2021 г.) шифры НР, СП и ПНР с версии Smeta.ru 11.4.1.0</t>
  </si>
  <si>
    <t>Пензенская область редакция 2014 г</t>
  </si>
  <si>
    <t>Территориальные единичные расценки Пензенской области, утвержденные приказом Минстроя России от  27.02.2015 № 140/пр</t>
  </si>
  <si>
    <t>ТЕР</t>
  </si>
  <si>
    <t>КЛ-1 кВ от РУ-0,4 кВ ТП-858 ф.3.3 до  муфты М1</t>
  </si>
  <si>
    <t>Новая локальная смета</t>
  </si>
  <si>
    <t>Новый раздел</t>
  </si>
  <si>
    <t>Земляные работы</t>
  </si>
  <si>
    <t>1</t>
  </si>
  <si>
    <t>01-02-058-2</t>
  </si>
  <si>
    <t>Копание ям вручную без креплений для стоек и столбов без откосов глубиной до 0,7 м, группа грунтов 2</t>
  </si>
  <si>
    <t>100 м3 грунта</t>
  </si>
  <si>
    <t>ТЕР01-02-058-2 Пр. Минстроя России от 27.02.2015 № 140/пр</t>
  </si>
  <si>
    <t>*1,2*1,15</t>
  </si>
  <si>
    <t>Общестроительные работы</t>
  </si>
  <si>
    <t>Земляные работы, выполняемые: ручным способом</t>
  </si>
  <si>
    <t>ФЕР-01</t>
  </si>
  <si>
    <t>Пр/812-001.2-1</t>
  </si>
  <si>
    <t>Пр/774-001.2</t>
  </si>
  <si>
    <t>2</t>
  </si>
  <si>
    <t>01-02-061-1</t>
  </si>
  <si>
    <t>Засыпка вручную траншей, пазух котлованов и ям, группа грунтов 1</t>
  </si>
  <si>
    <t>ТЕР01-02-061-1 Пр. Минстроя России от 27.02.2015 № 140/пр</t>
  </si>
  <si>
    <t>3</t>
  </si>
  <si>
    <t>01-01-004-5</t>
  </si>
  <si>
    <t>Разработка грунта в отвал экскаваторами &lt;драглайн&gt; или &lt;обратная лопата&gt; с ковшом вместимостью 0,25 м3, группа грунтов 2</t>
  </si>
  <si>
    <t>1000 м3 грунта</t>
  </si>
  <si>
    <t>ТЕР01-01-004-5 Пр. Минстроя России от 27.02.2015 № 140/пр</t>
  </si>
  <si>
    <t>Земляные работы, выполняемые: механизированным способом</t>
  </si>
  <si>
    <t>Пр/812-001.1-1</t>
  </si>
  <si>
    <t>Пр/774-001.1</t>
  </si>
  <si>
    <t>4</t>
  </si>
  <si>
    <t>01-02-057-2</t>
  </si>
  <si>
    <t>Разработка грунта вручную в траншеях глубиной до 2 м без креплений с откосами, группа грунтов 2</t>
  </si>
  <si>
    <t>ТЕР01-02-057-2 Пр. Минстроя России от 27.02.2015 № 140/пр</t>
  </si>
  <si>
    <t>5</t>
  </si>
  <si>
    <t>01-01-033-2</t>
  </si>
  <si>
    <t>Засыпка траншей и котлованов с перемещением грунта до 5 м бульдозерами мощностью 59 кВт (80 л.с.), группа грунтов 2</t>
  </si>
  <si>
    <t>ТЕР01-01-033-2 Пр. Минстроя России от 27.02.2015 № 140/пр</t>
  </si>
  <si>
    <t>6</t>
  </si>
  <si>
    <t>7</t>
  </si>
  <si>
    <t>01-02-005-1</t>
  </si>
  <si>
    <t>Уплотнение грунта пневматическими трамбовками, группа грунтов 1-2</t>
  </si>
  <si>
    <t>100 м3 уплотненного грунта</t>
  </si>
  <si>
    <t>ТЕР01-02-005-1 Пр. Минстроя России от 27.02.2015 № 140/пр</t>
  </si>
  <si>
    <t>Земляные работы, выполняемые: по другим видам работ ( подготовительные, сопутствующие, укрепительные )</t>
  </si>
  <si>
    <t>Пр/812-001.4-1</t>
  </si>
  <si>
    <t>Пр/774-001.4</t>
  </si>
  <si>
    <t>Земляные работы, выполняемые: по другим видам работ (подготовительные, сопутствующие, укрепительные)</t>
  </si>
  <si>
    <t>8</t>
  </si>
  <si>
    <t>т01-01-01-039</t>
  </si>
  <si>
    <t>Погрузка при автомобильных перевозках грунта растительного слоя (земля, перегной)</t>
  </si>
  <si>
    <t>1 Т ГРУЗА</t>
  </si>
  <si>
    <t>ТЕРт01-01-01-039 Пр. Минстроя России от 27.02.2015 № 140/пр</t>
  </si>
  <si>
    <t>Погрузочно-разгрузочные работы</t>
  </si>
  <si>
    <t>ФССЦпр  пог. а/п (2011,изм. 4-6)</t>
  </si>
  <si>
    <t>9</t>
  </si>
  <si>
    <t>т03-21-01-015</t>
  </si>
  <si>
    <t>Перевозка грузов I класса автомобилями-самосвалами грузоподъемностью 10 т работающих вне карьера на расстояние до 15 км</t>
  </si>
  <si>
    <t>ТЕРт03-21-01-015 Пр. Минстроя России от 27.02.2015 № 140/пр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</si>
  <si>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</si>
  <si>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</si>
  <si>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</si>
  <si>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10</t>
  </si>
  <si>
    <t>22-01-021-3</t>
  </si>
  <si>
    <t>Укладка трубопроводов из полиэтиленовых труб диаметром 100 мм</t>
  </si>
  <si>
    <t>1 км трубопровода</t>
  </si>
  <si>
    <t>ТЕР22-01-021-3 Пр. Минстроя России от 27.02.2015 № 140/пр</t>
  </si>
  <si>
    <t>Наружные сети водопровода, канализации, теплоснабжения, газопроводы</t>
  </si>
  <si>
    <t>ФЕР-22</t>
  </si>
  <si>
    <t>Пр/812-018.0-1</t>
  </si>
  <si>
    <t>Пр/774-018.0</t>
  </si>
  <si>
    <t>11</t>
  </si>
  <si>
    <t>47-01-046-4</t>
  </si>
  <si>
    <t>Подготовка почвы для устройства партерного и обыкновенного газона с внесением растительной земли слоем 15 см вручную</t>
  </si>
  <si>
    <t>100 м2</t>
  </si>
  <si>
    <t>ТЕР47-01-046-4 Пр. Минстроя России от 27.02.2015 № 140/пр</t>
  </si>
  <si>
    <t>*1,15*1,2</t>
  </si>
  <si>
    <t>Озеленение. Защитные лесонасаждения</t>
  </si>
  <si>
    <t>ФЕР-47</t>
  </si>
  <si>
    <t>Пр/812-041.0-1</t>
  </si>
  <si>
    <t>Пр/774-041.0</t>
  </si>
  <si>
    <t>12</t>
  </si>
  <si>
    <t>47-01-046-5</t>
  </si>
  <si>
    <t>На каждые 5 см изменения толщины слоя добавлять или исключать к расценкам с 47-01-046-01 по 47-01-046-04</t>
  </si>
  <si>
    <t>ТЕР47-01-046-5 Пр. Минстроя России от 27.02.2015 № 140/пр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</si>
  <si>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</si>
  <si>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</si>
  <si>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</si>
  <si>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</si>
  <si>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</si>
  <si>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</si>
  <si>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</si>
  <si>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</si>
  <si>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</si>
  <si>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</si>
  <si>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</si>
  <si>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</si>
  <si>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</si>
  <si>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</si>
  <si>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</si>
  <si>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</si>
  <si>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</si>
  <si>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</si>
  <si>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</si>
  <si>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</si>
  <si>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</si>
  <si>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</si>
  <si>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</si>
  <si>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</si>
  <si>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</si>
  <si>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</si>
  <si>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</si>
  <si>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</si>
  <si>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</si>
  <si>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</si>
  <si>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</si>
  <si>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</si>
  <si>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</si>
  <si>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</si>
  <si>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</si>
  <si>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</si>
  <si>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</si>
  <si>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</si>
  <si>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</si>
  <si>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</si>
  <si>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</si>
  <si>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</si>
  <si>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</si>
  <si>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</si>
  <si>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</si>
  <si>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</si>
  <si>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</si>
  <si>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</si>
  <si>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</si>
  <si>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</si>
  <si>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</si>
  <si>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</si>
  <si>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</si>
  <si>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</si>
  <si>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</si>
  <si>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прямые затраты</t>
  </si>
  <si>
    <t>Итог2</t>
  </si>
  <si>
    <t>Итог3</t>
  </si>
  <si>
    <t>Итог4</t>
  </si>
  <si>
    <t>Итого</t>
  </si>
  <si>
    <t>общестр</t>
  </si>
  <si>
    <t>В том числе общестроительные работы</t>
  </si>
  <si>
    <t>монтаж</t>
  </si>
  <si>
    <t>В том числе монтажные работы</t>
  </si>
  <si>
    <t>оборудов</t>
  </si>
  <si>
    <t>В том числе оборудование</t>
  </si>
  <si>
    <t>прочее</t>
  </si>
  <si>
    <t>В том числе прочие работы</t>
  </si>
  <si>
    <t>проверка</t>
  </si>
  <si>
    <t>если это напечаталось, то что-то не так</t>
  </si>
  <si>
    <t>Монтажные работы</t>
  </si>
  <si>
    <t>13</t>
  </si>
  <si>
    <t>м08-02-142-1</t>
  </si>
  <si>
    <t>Устройство постели при одном кабеле в траншее</t>
  </si>
  <si>
    <t>100 м кабеля</t>
  </si>
  <si>
    <t>ТЕРм08-02-142-1 Пр. Минстроя России от 27.02.2015 № 140/пр</t>
  </si>
  <si>
    <t>Электротехнические установки: на других объектах</t>
  </si>
  <si>
    <t>мФЕР-08</t>
  </si>
  <si>
    <t>Пр/812-049.3-1</t>
  </si>
  <si>
    <t>Пр/774-049.3</t>
  </si>
  <si>
    <t>14</t>
  </si>
  <si>
    <t>м08-02-143-1</t>
  </si>
  <si>
    <t>Покрытие кабеля, проложенного в траншее кирпичом одного кабеля</t>
  </si>
  <si>
    <t>ТЕРм08-02-143-1 Пр. Минстроя России от 27.02.2015 № 140/пр</t>
  </si>
  <si>
    <t>15</t>
  </si>
  <si>
    <t>м08-02-141-2</t>
  </si>
  <si>
    <t>Кабель до 35 кВ в готовых траншеях без покрытий, масса 1 м до 2 кг</t>
  </si>
  <si>
    <t>ТЕРм08-02-141-2 Пр. Минстроя России от 27.02.2015 № 140/пр</t>
  </si>
  <si>
    <t>16</t>
  </si>
  <si>
    <t>м08-02-148-2</t>
  </si>
  <si>
    <t>Кабель до 35 кВ в проложенных трубах, блоках и коробах, масса 1 м кабеля до 2 кг ( в т.ч ГНБ-74м)</t>
  </si>
  <si>
    <t>ТЕРм08-02-148-2 Пр. Минстроя России от 27.02.2015 № 140/пр</t>
  </si>
  <si>
    <t>17</t>
  </si>
  <si>
    <t>м08-02-147-11</t>
  </si>
  <si>
    <t>Кабель до 35 кВ по установленным конструкциям и лоткам с креплением по всей длине, масса 1 м кабеля до 2 кг</t>
  </si>
  <si>
    <t>ТЕРм08-02-147-11 Пр. Минстроя России от 27.02.2015 № 140/пр</t>
  </si>
  <si>
    <t>*1,35</t>
  </si>
  <si>
    <t>18</t>
  </si>
  <si>
    <t>м08-02-145-2</t>
  </si>
  <si>
    <t>Кабель до 35 кВ, прокладываемый по дну канала без креплений, масса 1 м кабеля до 2 кг</t>
  </si>
  <si>
    <t>ТЕРм08-02-145-2 Пр. Минстроя России от 27.02.2015 № 140/пр</t>
  </si>
  <si>
    <t>19</t>
  </si>
  <si>
    <t>м08-02-157-1</t>
  </si>
  <si>
    <t>Снятие с кабеля верхнего джутового покрова, масса 1 м кабеля до 9 кг</t>
  </si>
  <si>
    <t>ТЕРм08-02-157-1 Пр. Минстроя России от 27.02.2015 № 140/пр</t>
  </si>
  <si>
    <t>20</t>
  </si>
  <si>
    <t>м08-02-165-2</t>
  </si>
  <si>
    <t>Муфта концевая эпоксидная для 3-жильного кабеля напряжением 1 кВ, сечение одной жилы до 70 мм2</t>
  </si>
  <si>
    <t>1  ШТ.</t>
  </si>
  <si>
    <t>ТЕРм08-02-165-2 Пр. Минстроя России от 27.02.2015 № 140/пр</t>
  </si>
  <si>
    <t>21</t>
  </si>
  <si>
    <t>м08-02-144-5</t>
  </si>
  <si>
    <t>Присоединение к зажимам жил проводов или кабелей сечением до 70 мм2</t>
  </si>
  <si>
    <t>100 шт.</t>
  </si>
  <si>
    <t>ТЕРм08-02-144-5 Пр. Минстроя России от 27.02.2015 № 140/пр</t>
  </si>
  <si>
    <t>22</t>
  </si>
  <si>
    <t>м08-02-166-9</t>
  </si>
  <si>
    <t>Муфта соединительная свинцовая с защитным кожухом для кабеля напряжением до 10 кВ без заливки кожуха массой, сечение жил до 70 мм2</t>
  </si>
  <si>
    <t>ТЕРм08-02-166-9 Пр. Минстроя России от 27.02.2015 № 140/пр</t>
  </si>
  <si>
    <t>23</t>
  </si>
  <si>
    <t>м08-02-155-1</t>
  </si>
  <si>
    <t>Герметизация проходов при вводе кабелей во взрывоопасные помещения уплотнительной массой</t>
  </si>
  <si>
    <t>1 проход кабеля</t>
  </si>
  <si>
    <t>ТЕРм08-02-155-1 Пр. Минстроя России от 27.02.2015 № 140/пр</t>
  </si>
  <si>
    <t>23,1</t>
  </si>
  <si>
    <t>509-0900</t>
  </si>
  <si>
    <t>Уплотнительный состав</t>
  </si>
  <si>
    <t>кг</t>
  </si>
  <si>
    <t>ССЦ Пенз. обл.509-0900 Пр. Минстроя России от 27.02.2015 № 140/пр</t>
  </si>
  <si>
    <t>Материалы монтажные</t>
  </si>
  <si>
    <t>Материалы и конструкции ( монтажные )  по ценникам и каталогам</t>
  </si>
  <si>
    <t>ФССЦм</t>
  </si>
  <si>
    <t>24</t>
  </si>
  <si>
    <t>м08-03-523-2</t>
  </si>
  <si>
    <t>Предохранитель, устанавливаемый на изоляционном основании, на ток до 250 А</t>
  </si>
  <si>
    <t>ТЕРм08-03-523-2 Пр. Минстроя России от 27.02.2015 № 140/пр</t>
  </si>
  <si>
    <t>Пересечение дороги методом ГНБ ( 1х17м, 1х20м, 1х40м)</t>
  </si>
  <si>
    <t>25</t>
  </si>
  <si>
    <t>04-01-076-1</t>
  </si>
  <si>
    <t>Бурение пилотной скважины машиной горизонтального бурения прессово-шнековой с усилием продавливания 203 ТС (2000кН) фирмы SHMIDT, KRANZ-GRUPPE</t>
  </si>
  <si>
    <t>100 м бурения скважины</t>
  </si>
  <si>
    <t>ТЕР04-01-076-1 Пр. Минстроя России от 27.02.2015 № 140/пр</t>
  </si>
  <si>
    <t>Скважины</t>
  </si>
  <si>
    <t>ФЕР-04</t>
  </si>
  <si>
    <t>Пр/812-004.0-1</t>
  </si>
  <si>
    <t>Пр/774-004.0</t>
  </si>
  <si>
    <t>26</t>
  </si>
  <si>
    <t>04-01-077-9</t>
  </si>
  <si>
    <t>ТЕР04-01-077-9 Пр. Минстроя России от 27.02.2015 № 140/пр</t>
  </si>
  <si>
    <t>*0,3385</t>
  </si>
  <si>
    <t>27</t>
  </si>
  <si>
    <t>507-2855</t>
  </si>
  <si>
    <t>Труба ПЭ 100 SDR 17, наружный диаметр 110 мм (ГОСТ 18599-2001)</t>
  </si>
  <si>
    <t>10 м</t>
  </si>
  <si>
    <t>ССЦ Пенз. обл.507-2855 Пр. Минстроя России от 27.02.2015 № 140/пр</t>
  </si>
  <si>
    <t>Вскрытие и восстановление асфальта</t>
  </si>
  <si>
    <t>28</t>
  </si>
  <si>
    <t>27-03-008-4</t>
  </si>
  <si>
    <t>Разборка покрытий и оснований асфальтобетонных</t>
  </si>
  <si>
    <t>100 м3 конструкций</t>
  </si>
  <si>
    <t>ТЕР27-03-008-4 Пр. Минстроя России от 27.02.2015 № 140/пр</t>
  </si>
  <si>
    <t>Автомобильные дороги</t>
  </si>
  <si>
    <t>Демонтаж и разборка на автомобильных дорогах</t>
  </si>
  <si>
    <t>ФЕР-27</t>
  </si>
  <si>
    <t>Пр/812-021.0-1</t>
  </si>
  <si>
    <t>Пр/774-021.0</t>
  </si>
  <si>
    <t>29</t>
  </si>
  <si>
    <t>27-03-008-2</t>
  </si>
  <si>
    <t>Разборка покрытий и оснований щебеночных</t>
  </si>
  <si>
    <t>ТЕР27-03-008-2 Пр. Минстроя России от 27.02.2015 № 140/пр</t>
  </si>
  <si>
    <t>30</t>
  </si>
  <si>
    <t>т01-01-01-041</t>
  </si>
  <si>
    <t>Погрузка при автомобильных перевозках мусора строительного с погрузкой вручную</t>
  </si>
  <si>
    <t>ТЕРт01-01-01-041 Пр. Минстроя России от 27.02.2015 № 140/пр</t>
  </si>
  <si>
    <t>31</t>
  </si>
  <si>
    <t>т03-21-01-010</t>
  </si>
  <si>
    <t>Перевозка грузов I класса автомобилями-самосвалами грузоподъемностью 10 т работающих вне карьера на расстояние до 10 км</t>
  </si>
  <si>
    <t>ТЕРт03-21-01-010 Пр. Минстроя России от 27.02.2015 № 140/пр</t>
  </si>
  <si>
    <t>Перевозка строительных грузов автомобильным транспортом</t>
  </si>
  <si>
    <t>ФССЦпр , изм. 7</t>
  </si>
  <si>
    <t>32</t>
  </si>
  <si>
    <t>27-04-007-1</t>
  </si>
  <si>
    <t>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</t>
  </si>
  <si>
    <t>1000 м2 основания</t>
  </si>
  <si>
    <t>ТЕР27-04-007-1 Пр. Минстроя России от 27.02.2015 № 140/пр</t>
  </si>
  <si>
    <t>32,1</t>
  </si>
  <si>
    <t>408-0020</t>
  </si>
  <si>
    <t>Щебень из природного камня для строительных работ марка 600, фракция 40-70 мм</t>
  </si>
  <si>
    <t>м3</t>
  </si>
  <si>
    <t>ССЦ Пенз. обл.408-0020 Пр. Минстроя России от 27.02.2015 № 140/пр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</si>
  <si>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</si>
  <si>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</si>
  <si>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</si>
  <si>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32,2</t>
  </si>
  <si>
    <t>408-0018</t>
  </si>
  <si>
    <t>Щебень из природного камня для строительных работ марка 600, фракция 10-20 мм</t>
  </si>
  <si>
    <t>ССЦ Пенз. обл.408-0018 Пр. Минстроя России от 27.02.2015 № 140/пр</t>
  </si>
  <si>
    <t>33</t>
  </si>
  <si>
    <t>27-04-007-4</t>
  </si>
  <si>
    <t>На каждый 1 см изменения толщины слоя добавлять или исключать к расценкам 27-04-007-01, 27-04-007-02, 27-04-007-03</t>
  </si>
  <si>
    <t>ТЕР27-04-007-4 Пр. Минстроя России от 27.02.2015 № 140/пр</t>
  </si>
  <si>
    <t>*5</t>
  </si>
  <si>
    <t>*1,15*5*1,2</t>
  </si>
  <si>
    <t>33,1</t>
  </si>
  <si>
    <t>34</t>
  </si>
  <si>
    <t>прайс-лист</t>
  </si>
  <si>
    <t>Материалы по прайсу монтажные</t>
  </si>
  <si>
    <t>Материлы по прайсу ( монтажные )</t>
  </si>
  <si>
    <t>ПрайсМТ</t>
  </si>
  <si>
    <t>35</t>
  </si>
  <si>
    <t>27-06-026-1</t>
  </si>
  <si>
    <t>Розлив вяжущих материалов</t>
  </si>
  <si>
    <t>1 Т</t>
  </si>
  <si>
    <t>ТЕР27-06-026-1 Пр. Минстроя России от 27.02.2015 № 140/пр</t>
  </si>
  <si>
    <t>36</t>
  </si>
  <si>
    <t>Битумы нефтяные дорожные БНД-100/130</t>
  </si>
  <si>
    <t>ТН</t>
  </si>
  <si>
    <t>[35 000 / 1,2]</t>
  </si>
  <si>
    <t>0</t>
  </si>
  <si>
    <t>37</t>
  </si>
  <si>
    <t>27-03-004-1</t>
  </si>
  <si>
    <t>Устройство выравнивающего слоя из асфальтобетонной смеси с применением укладчиков асфальтобетона</t>
  </si>
  <si>
    <t>100 т смеси</t>
  </si>
  <si>
    <t>ТЕР27-03-004-1 Пр. Минстроя России от 27.02.2015 № 140/пр</t>
  </si>
  <si>
    <t>37,1</t>
  </si>
  <si>
    <t>410-0034</t>
  </si>
  <si>
    <t>Смеси асфальтобетонные дорожные, аэродромные и асфальтобетон (холодные), марка II Бх</t>
  </si>
  <si>
    <t>т</t>
  </si>
  <si>
    <t>ССЦ Пенз. обл.410-0034 Пр. Минстроя России от 27.02.2015 № 140/пр</t>
  </si>
  <si>
    <t>38</t>
  </si>
  <si>
    <t>27-06-029-1</t>
  </si>
  <si>
    <t>Устройство покрытия толщиной 4 см из горячих асфальтобетонных смесей плотных мелкозернистых типа А,Б,В, плотность каменных материалов 2,5-2,9 т/м3</t>
  </si>
  <si>
    <t>1000 м2 покрытия</t>
  </si>
  <si>
    <t>ТЕР27-06-029-1 Пр. Минстроя России от 27.02.2015 № 140/пр</t>
  </si>
  <si>
    <t>38,1</t>
  </si>
  <si>
    <t>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</si>
  <si>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</si>
  <si>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ССЦ Пенз. обл.410-0001 Пр. Минстроя России от 27.02.2015 № 140/пр</t>
  </si>
  <si>
    <t>39</t>
  </si>
  <si>
    <t>Асфальтобетонная смесь тип Б марка II</t>
  </si>
  <si>
    <t>Материалы</t>
  </si>
  <si>
    <t>40</t>
  </si>
  <si>
    <t>Прайс-лист</t>
  </si>
  <si>
    <t>Кабель АВБбШв 4*70</t>
  </si>
  <si>
    <t>м</t>
  </si>
  <si>
    <t>[867,22 / 1,2] +  5,5% Трансп +  2% Заг.скл</t>
  </si>
  <si>
    <t>5,5</t>
  </si>
  <si>
    <t>41</t>
  </si>
  <si>
    <t>408-0122</t>
  </si>
  <si>
    <t>Песок природный для строительных работ средний</t>
  </si>
  <si>
    <t>ССЦ Пенз. обл.408-0122 Пр. Минстроя России от 27.02.2015 № 140/пр</t>
  </si>
  <si>
    <t>42</t>
  </si>
  <si>
    <t>Кирпич керамический</t>
  </si>
  <si>
    <t>шт.</t>
  </si>
  <si>
    <t>1 врезка</t>
  </si>
  <si>
    <t>[24 / 1,2] +  5,5% Трансп +  2% Заг.скл</t>
  </si>
  <si>
    <t>43</t>
  </si>
  <si>
    <t>509-0808</t>
  </si>
  <si>
    <t>Заделки концевые эпоксидные</t>
  </si>
  <si>
    <t>компл.</t>
  </si>
  <si>
    <t>ССЦ Пенз. обл.509-0808 Пр. Минстроя России от 27.02.2015 № 140/пр</t>
  </si>
  <si>
    <t>44</t>
  </si>
  <si>
    <t>502-0774</t>
  </si>
  <si>
    <t>Муфта термоусаживаемая соединительная для кабеля с пропитанной бумажной изоляцией на напряжение до 1 кВ марки Стп4-70/120 с болтовыми соединителями и комплектом пайки для присоединения заземления</t>
  </si>
  <si>
    <t>ССЦ Пенз. обл.502-0774 Пр. Минстроя России от 27.02.2015 № 140/пр</t>
  </si>
  <si>
    <t>45</t>
  </si>
  <si>
    <t>Уплотнитель кабельных проходов УКПТ-175/50 КВТ</t>
  </si>
  <si>
    <t>ШТ</t>
  </si>
  <si>
    <t>[699 / 1,2] +  5,5% Трансп +  2% Заг.скл</t>
  </si>
  <si>
    <t>46</t>
  </si>
  <si>
    <t>509-2898</t>
  </si>
  <si>
    <t>Предохранители плавкие ПН2-250</t>
  </si>
  <si>
    <t>ССЦ Пенз. обл.509-2898 Пр. Минстроя России от 27.02.2015 № 140/пр</t>
  </si>
  <si>
    <t>Пусконаладочные работы</t>
  </si>
  <si>
    <t>47</t>
  </si>
  <si>
    <t>п01-11-024-1</t>
  </si>
  <si>
    <t>Фазировка электрической линии или трансформатора с сетью напряжением до 1 кВ</t>
  </si>
  <si>
    <t>1 фазировка</t>
  </si>
  <si>
    <t>ТЕРп01-11-024-1 Пр. Минстроя России от 27.02.2015 № 140/пр</t>
  </si>
  <si>
    <t>*1,2</t>
  </si>
  <si>
    <t>Пусконаладочные работы (Если АЭС=1, то Пусконаладочные работы технологического оборудования АЭС)</t>
  </si>
  <si>
    <t>ФЕРп</t>
  </si>
  <si>
    <t>Пр/812-084.0-1</t>
  </si>
  <si>
    <t>Пр/774-084.0</t>
  </si>
  <si>
    <t>48</t>
  </si>
  <si>
    <t>п01-11-028-1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</si>
  <si>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</si>
  <si>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1 линия</t>
  </si>
  <si>
    <t>ТЕРп01-11-028-1 Пр. Минстроя России от 27.02.2015 № 140/пр</t>
  </si>
  <si>
    <t>Электротехнические устройства</t>
  </si>
  <si>
    <t>Мет. 421/пр. 04.08.20. пр. 8; п.1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</si>
  <si>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</si>
  <si>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</si>
  <si>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</si>
  <si>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</si>
  <si>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</si>
  <si>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</si>
  <si>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</si>
  <si>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</si>
  <si>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</si>
  <si>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</si>
  <si>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</si>
  <si>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</si>
  <si>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</si>
  <si>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</si>
  <si>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</si>
  <si>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</si>
  <si>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</si>
  <si>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</si>
  <si>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</si>
  <si>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АЭС</t>
  </si>
  <si>
    <t>При определении сметной стоимости строительства объектов капитального строительства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</si>
  <si>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</si>
  <si>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</si>
  <si>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</si>
  <si>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</si>
  <si>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</si>
  <si>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</si>
  <si>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</si>
  <si>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</si>
  <si>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</si>
  <si>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</si>
  <si>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</si>
  <si>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</si>
  <si>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</si>
  <si>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</si>
  <si>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</si>
  <si>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</si>
  <si>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</si>
  <si>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</si>
  <si>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</si>
  <si>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</si>
  <si>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</si>
  <si>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</si>
  <si>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</si>
  <si>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</si>
  <si>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</si>
  <si>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</si>
  <si>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</si>
  <si>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</si>
  <si>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</si>
  <si>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</si>
  <si>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</si>
  <si>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</si>
  <si>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</si>
  <si>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Уровень цен</t>
  </si>
  <si>
    <t>Индексы за итогом</t>
  </si>
  <si>
    <t>_OBSM_</t>
  </si>
  <si>
    <t>1-1020-58</t>
  </si>
  <si>
    <t>Затраты труда рабочих (средний разряд 2,0)</t>
  </si>
  <si>
    <t>чел.-ч.</t>
  </si>
  <si>
    <t>Затраты труда машинистов</t>
  </si>
  <si>
    <t>чел.час</t>
  </si>
  <si>
    <t>1-1015-58</t>
  </si>
  <si>
    <t>Затраты труда рабочих (средний разряд 1,5)</t>
  </si>
  <si>
    <t>060337</t>
  </si>
  <si>
    <t>ЦЭМ Пенз. обл.060337 Пр. Минстроя России от 27.02.2015 № 140/пр</t>
  </si>
  <si>
    <t>Экскаваторы одноковшовые дизельные на пневмоколесном ходу при работе на других видах строительства 0,25 м3</t>
  </si>
  <si>
    <t>маш.-ч</t>
  </si>
  <si>
    <t>070148</t>
  </si>
  <si>
    <t>ЦЭМ Пенз. обл.070148 Пр. Минстроя России от 27.02.2015 № 140/пр</t>
  </si>
  <si>
    <t>Бульдозеры при работе на других видах строительства 59 кВт (80 л.с.)</t>
  </si>
  <si>
    <t>1-1030-58</t>
  </si>
  <si>
    <t>Затраты труда рабочих (средний разряд 3,0)</t>
  </si>
  <si>
    <t>050101</t>
  </si>
  <si>
    <t>ЦЭМ Пенз. обл.050101 Пр. Минстроя России от 27.02.2015 № 140/пр</t>
  </si>
  <si>
    <t>Компрессоры передвижные с двигателем внутреннего сгорания давлением до 686 кПа (7 ат), производительность  до 5 м3/мин</t>
  </si>
  <si>
    <t>331100</t>
  </si>
  <si>
    <t>ЦЭМ Пенз. обл.331100 Пр. Минстроя России от 27.02.2015 № 140/пр</t>
  </si>
  <si>
    <t>Трамбовки пневматические при работе от передвижных компрессорных станций</t>
  </si>
  <si>
    <t>060248</t>
  </si>
  <si>
    <t>ЦЭМ Пенз. обл.060248 Пр. Минстроя России от 27.02.2015 № 140/пр</t>
  </si>
  <si>
    <t>Экскаваторы одноковшовые дизельные на гусеничном ходу при работе на других видах строительства 0,65 м3</t>
  </si>
  <si>
    <t>1-1037-58</t>
  </si>
  <si>
    <t>Затраты труда рабочих (средний разряд 3,7)</t>
  </si>
  <si>
    <t>021141</t>
  </si>
  <si>
    <t>ЦЭМ Пенз. обл.021141 Пр. Минстроя России от 27.02.2015 № 140/пр</t>
  </si>
  <si>
    <t>Краны на автомобильном ходу при работе на других видах строительства 10 т</t>
  </si>
  <si>
    <t>040102</t>
  </si>
  <si>
    <t>ЦЭМ Пенз. обл.040102 Пр. Минстроя России от 27.02.2015 № 140/пр</t>
  </si>
  <si>
    <t>Электростанции передвижные 4 кВт</t>
  </si>
  <si>
    <t>042901</t>
  </si>
  <si>
    <t>ЦЭМ Пенз. обл.042901 Пр. Минстроя России от 27.02.2015 № 140/пр</t>
  </si>
  <si>
    <t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t>
  </si>
  <si>
    <t>081600</t>
  </si>
  <si>
    <t>ЦЭМ Пенз. обл.081600 Пр. Минстроя России от 27.02.2015 № 140/пр</t>
  </si>
  <si>
    <t>Агрегаты для сварки полиэтиленовых труб</t>
  </si>
  <si>
    <t>400001</t>
  </si>
  <si>
    <t>ЦЭМ Пенз. обл.400001 Пр. Минстроя России от 27.02.2015 № 140/пр</t>
  </si>
  <si>
    <t>Автомобили бортовые, грузоподъемность до 5 т</t>
  </si>
  <si>
    <t>101-1742</t>
  </si>
  <si>
    <t>ССЦ Пенз. обл.101-1742 Пр. Минстроя России от 27.02.2015 № 140/пр</t>
  </si>
  <si>
    <t>Толь с крупнозернистой посыпкой гидроизоляционный марки ТГ-350</t>
  </si>
  <si>
    <t>м2</t>
  </si>
  <si>
    <t>411-0001</t>
  </si>
  <si>
    <t>ССЦ Пенз. обл.411-0001 Пр. Минстроя России от 27.02.2015 № 140/пр</t>
  </si>
  <si>
    <t>Вода</t>
  </si>
  <si>
    <t>507-0595</t>
  </si>
  <si>
    <t>ССЦ Пенз. обл.507-0595 Пр. Минстроя России от 27.02.2015 № 140/пр</t>
  </si>
  <si>
    <t>Трубы напорные из полиэтилена низкого давления среднего типа, наружным диаметром 110 мм</t>
  </si>
  <si>
    <t>1-1022-58</t>
  </si>
  <si>
    <t>Затраты труда рабочих (средний разряд 2,2)</t>
  </si>
  <si>
    <t>407-0013</t>
  </si>
  <si>
    <t>ССЦ Пенз. обл.407-0013 Пр. Минстроя России от 27.02.2015 № 140/пр</t>
  </si>
  <si>
    <t>Земля растительная механизированной заготовки</t>
  </si>
  <si>
    <t>1-1040-58</t>
  </si>
  <si>
    <t>Затраты труда рабочих (средний разряд 4,0)</t>
  </si>
  <si>
    <t>999-9950</t>
  </si>
  <si>
    <t>ССЦ Пенз. обл.999-9950 Пр. Минстроя России от 27.02.2015 № 140/пр</t>
  </si>
  <si>
    <t>Вспомогательные ненормируемые материалы (2% от ОЗП)</t>
  </si>
  <si>
    <t>РУБ</t>
  </si>
  <si>
    <t>021102</t>
  </si>
  <si>
    <t>ЦЭМ Пенз. обл.021102 Пр. Минстроя России от 27.02.2015 № 140/пр</t>
  </si>
  <si>
    <t>Краны на автомобильном ходу при работе на монтаже технологического оборудования 10 т</t>
  </si>
  <si>
    <t>030203</t>
  </si>
  <si>
    <t>ЦЭМ Пенз. обл.030203 Пр. Минстроя России от 27.02.2015 № 140/пр</t>
  </si>
  <si>
    <t>Домкраты гидравлические грузоподъемностью 63-100 т</t>
  </si>
  <si>
    <t>030402</t>
  </si>
  <si>
    <t>ЦЭМ Пенз. обл.030402 Пр. Минстроя России от 27.02.2015 № 140/пр</t>
  </si>
  <si>
    <t>Лебедки электрические тяговым усилием до 12,26 кН (1,25 т)</t>
  </si>
  <si>
    <t>101-1641</t>
  </si>
  <si>
    <t>ССЦ Пенз. обл.101-1641 Пр. Минстроя России от 27.02.2015 № 140/пр</t>
  </si>
  <si>
    <t>Сталь угловая равнополочная, марка стали ВСт3кп2, размером 50x50x5 мм</t>
  </si>
  <si>
    <t>101-1755</t>
  </si>
  <si>
    <t>ССЦ Пенз. обл.101-1755 Пр. Минстроя России от 27.02.2015 № 140/пр</t>
  </si>
  <si>
    <t>Сталь полосовая, марка стали Ст3сп шириной 50-200 мм толщиной 4-5 мм</t>
  </si>
  <si>
    <t>101-2143</t>
  </si>
  <si>
    <t>ССЦ Пенз. обл.101-2143 Пр. Минстроя России от 27.02.2015 № 140/пр</t>
  </si>
  <si>
    <t>Краска</t>
  </si>
  <si>
    <t>101-2478</t>
  </si>
  <si>
    <t>ССЦ Пенз. обл.101-2478 Пр. Минстроя России от 27.02.2015 № 140/пр</t>
  </si>
  <si>
    <t>Лента К226</t>
  </si>
  <si>
    <t>100 м</t>
  </si>
  <si>
    <t>113-1786</t>
  </si>
  <si>
    <t>ССЦ Пенз. обл.113-1786 Пр. Минстроя России от 27.02.2015 № 140/пр</t>
  </si>
  <si>
    <t>Лак битумный БТ-123</t>
  </si>
  <si>
    <t>506-1362</t>
  </si>
  <si>
    <t>ССЦ Пенз. обл.506-1362 Пр. Минстроя России от 27.02.2015 № 140/пр</t>
  </si>
  <si>
    <t>Припои оловянно-свинцовые бессурьмянистые марки ПОС30</t>
  </si>
  <si>
    <t>101-1481</t>
  </si>
  <si>
    <t>ССЦ Пенз. обл.101-1481 Пр. Минстроя России от 27.02.2015 № 140/пр</t>
  </si>
  <si>
    <t>Шурупы с полукруглой головкой 4x40 мм</t>
  </si>
  <si>
    <t>031050</t>
  </si>
  <si>
    <t>ЦЭМ Пенз. обл.031050 Пр. Минстроя России от 27.02.2015 № 140/пр</t>
  </si>
  <si>
    <t>Вышка телескопическая 25 м</t>
  </si>
  <si>
    <t>101-0069</t>
  </si>
  <si>
    <t>ССЦ Пенз. обл.101-0069 Пр. Минстроя России от 27.02.2015 № 140/пр</t>
  </si>
  <si>
    <t>Бензин авиационный Б-70</t>
  </si>
  <si>
    <t>509-1206</t>
  </si>
  <si>
    <t>ССЦ Пенз. обл.509-1206 Пр. Минстроя России от 27.02.2015 № 140/пр</t>
  </si>
  <si>
    <t>Парафины нефтяные твердые марки Т-1</t>
  </si>
  <si>
    <t>101-2278</t>
  </si>
  <si>
    <t>ССЦ Пенз. обл.101-2278 Пр. Минстроя России от 27.02.2015 № 140/пр</t>
  </si>
  <si>
    <t>Пропан-бутан, смесь техническая</t>
  </si>
  <si>
    <t>101-1705</t>
  </si>
  <si>
    <t>ССЦ Пенз. обл.101-1705 Пр. Минстроя России от 27.02.2015 № 140/пр</t>
  </si>
  <si>
    <t>Пакля пропитанная</t>
  </si>
  <si>
    <t>509-0988</t>
  </si>
  <si>
    <t>ССЦ Пенз. обл.509-0988 Пр. Минстроя России от 27.02.2015 № 140/пр</t>
  </si>
  <si>
    <t>Шнур асбестовый общего назначения марки ШАОН диаметром 3-5 мм</t>
  </si>
  <si>
    <t>1-1048-58</t>
  </si>
  <si>
    <t>Затраты труда рабочих (средний разряд 4,8)</t>
  </si>
  <si>
    <t>330206</t>
  </si>
  <si>
    <t>ЦЭМ Пенз. обл.330206 Пр. Минстроя России от 27.02.2015 № 140/пр</t>
  </si>
  <si>
    <t>Дрели электрические</t>
  </si>
  <si>
    <t>350451</t>
  </si>
  <si>
    <t>ЦЭМ Пенз. обл.350451 Пр. Минстроя России от 27.02.2015 № 140/пр</t>
  </si>
  <si>
    <t>Пресс гидравлический с электроприводом</t>
  </si>
  <si>
    <t>101-1665</t>
  </si>
  <si>
    <t>ССЦ Пенз. обл.101-1665 Пр. Минстроя России от 27.02.2015 № 140/пр</t>
  </si>
  <si>
    <t>Лак электроизоляционный 318</t>
  </si>
  <si>
    <t>101-1964</t>
  </si>
  <si>
    <t>ССЦ Пенз. обл.101-1964 Пр. Минстроя России от 27.02.2015 № 140/пр</t>
  </si>
  <si>
    <t>Шпагат бумажный</t>
  </si>
  <si>
    <t>101-1977</t>
  </si>
  <si>
    <t>ССЦ Пенз. обл.101-1977 Пр. Минстроя России от 27.02.2015 № 140/пр</t>
  </si>
  <si>
    <t>Болты с гайками и шайбами строительные</t>
  </si>
  <si>
    <t>101-2365</t>
  </si>
  <si>
    <t>ССЦ Пенз. обл.101-2365 Пр. Минстроя России от 27.02.2015 № 140/пр</t>
  </si>
  <si>
    <t>Нитки швейные</t>
  </si>
  <si>
    <t>101-2499</t>
  </si>
  <si>
    <t>ССЦ Пенз. обл.101-2499 Пр. Минстроя России от 27.02.2015 № 140/пр</t>
  </si>
  <si>
    <t>Лента изоляционная прорезиненная односторонняя ширина 20 мм, толщина 0,25-0,35 мм</t>
  </si>
  <si>
    <t>509-1210</t>
  </si>
  <si>
    <t>ССЦ Пенз. обл.509-1210 Пр. Минстроя России от 27.02.2015 № 140/пр</t>
  </si>
  <si>
    <t>Вазелин технический</t>
  </si>
  <si>
    <t>1-1045-58</t>
  </si>
  <si>
    <t>Затраты труда рабочих (средний разряд 4,5)</t>
  </si>
  <si>
    <t>021143</t>
  </si>
  <si>
    <t>ЦЭМ Пенз. обл.021143 Пр. Минстроя России от 27.02.2015 № 140/пр</t>
  </si>
  <si>
    <t>Краны на автомобильном ходу при работе на других видах строительства 16 т</t>
  </si>
  <si>
    <t>031901</t>
  </si>
  <si>
    <t>ЦЭМ Пенз. обл.031901 Пр. Минстроя России от 27.02.2015 № 140/пр</t>
  </si>
  <si>
    <t>Тали ручные рычажные</t>
  </si>
  <si>
    <t>121601</t>
  </si>
  <si>
    <t>ЦЭМ Пенз. обл.121601 Пр. Минстроя России от 27.02.2015 № 140/пр</t>
  </si>
  <si>
    <t>Машины поливомоечные 6000 л</t>
  </si>
  <si>
    <t>253901</t>
  </si>
  <si>
    <t>ЦЭМ Пенз. обл.253901 Пр. Минстроя России от 27.02.2015 № 140/пр</t>
  </si>
  <si>
    <t>Машины горизонтального бурения прессово-шнековые с тяговым усилием 203 тс (2000 кН) фирмы SCHIDT, KRANZ-GRUPPE</t>
  </si>
  <si>
    <t>1-1043-58</t>
  </si>
  <si>
    <t>Затраты труда рабочих (средний разряд 4,3)</t>
  </si>
  <si>
    <t>040202</t>
  </si>
  <si>
    <t>ЦЭМ Пенз. обл.040202 Пр. Минстроя России от 27.02.2015 № 140/пр</t>
  </si>
  <si>
    <t>Агрегаты сварочные передвижные с номинальным сварочным током 250-400 А с дизельным двигателем</t>
  </si>
  <si>
    <t>040504</t>
  </si>
  <si>
    <t>ЦЭМ Пенз. обл.040504 Пр. Минстроя России от 27.02.2015 № 140/пр</t>
  </si>
  <si>
    <t>Аппарат для газовой сварки и резки</t>
  </si>
  <si>
    <t>060338</t>
  </si>
  <si>
    <t>ЦЭМ Пенз. обл.060338 Пр. Минстроя России от 27.02.2015 № 140/пр</t>
  </si>
  <si>
    <t>Экскаваторы одноковшовые дизельные на пневмоколесном ходу при работе на других видах строительства 0,4 м3</t>
  </si>
  <si>
    <t>400051</t>
  </si>
  <si>
    <t>ЦЭМ Пенз. обл.400051 Пр. Минстроя России от 27.02.2015 № 140/пр</t>
  </si>
  <si>
    <t>Автомобиль-самосвал, грузоподъемность до 7 т</t>
  </si>
  <si>
    <t>101-0324</t>
  </si>
  <si>
    <t>ССЦ Пенз. обл.101-0324 Пр. Минстроя России от 27.02.2015 № 140/пр</t>
  </si>
  <si>
    <t>Кислород технический газообразный</t>
  </si>
  <si>
    <t>101-1518</t>
  </si>
  <si>
    <t>ССЦ Пенз. обл.101-1518 Пр. Минстроя России от 27.02.2015 № 140/пр</t>
  </si>
  <si>
    <t>Электроды диаметром 4 мм Э50А</t>
  </si>
  <si>
    <t>101-1602</t>
  </si>
  <si>
    <t>ССЦ Пенз. обл.101-1602 Пр. Минстроя России от 27.02.2015 № 140/пр</t>
  </si>
  <si>
    <t>Ацетилен газообразный технический</t>
  </si>
  <si>
    <t>1-1027-58</t>
  </si>
  <si>
    <t>Затраты труда рабочих (средний разряд 2,7)</t>
  </si>
  <si>
    <t>120202</t>
  </si>
  <si>
    <t>ЦЭМ Пенз. обл.120202 Пр. Минстроя России от 27.02.2015 № 140/пр</t>
  </si>
  <si>
    <t>Автогрейдеры среднего типа 99 кВт (135 л.с.)</t>
  </si>
  <si>
    <t>330804</t>
  </si>
  <si>
    <t>ЦЭМ Пенз. обл.330804 Пр. Минстроя России от 27.02.2015 № 140/пр</t>
  </si>
  <si>
    <t>Молотки при работе от передвижных компрессорных станций отбойные пневматические</t>
  </si>
  <si>
    <t>010311</t>
  </si>
  <si>
    <t>ЦЭМ Пенз. обл.010311 Пр. Минстроя России от 27.02.2015 № 140/пр</t>
  </si>
  <si>
    <t>Тракторы на гусеничном ходу при работе на других видах строительства 59 кВт (80 л.с.)</t>
  </si>
  <si>
    <t>091400</t>
  </si>
  <si>
    <t>ЦЭМ Пенз. обл.091400 Пр. Минстроя России от 27.02.2015 № 140/пр</t>
  </si>
  <si>
    <t>Рыхлители прицепные (без трактора)</t>
  </si>
  <si>
    <t>1-1010-58</t>
  </si>
  <si>
    <t>Затраты труда рабочих (средний разряд 1,0)</t>
  </si>
  <si>
    <t>чел.ч</t>
  </si>
  <si>
    <t>ЧЕЛ.Ч</t>
  </si>
  <si>
    <t>1-1025-58</t>
  </si>
  <si>
    <t>Затраты труда рабочих (средний разряд 2,5)</t>
  </si>
  <si>
    <t>030101</t>
  </si>
  <si>
    <t>ЦЭМ Пенз. обл.030101 Пр. Минстроя России от 27.02.2015 № 140/пр</t>
  </si>
  <si>
    <t>Автопогрузчики 5 т</t>
  </si>
  <si>
    <t>070149</t>
  </si>
  <si>
    <t>ЦЭМ Пенз. обл.070149 Пр. Минстроя России от 27.02.2015 № 140/пр</t>
  </si>
  <si>
    <t>Бульдозеры при работе на других видах строительства 79 кВт (108 л.с.)</t>
  </si>
  <si>
    <t>120906</t>
  </si>
  <si>
    <t>ЦЭМ Пенз. обл.120906 Пр. Минстроя России от 27.02.2015 № 140/пр</t>
  </si>
  <si>
    <t>Катки дорожные самоходные гладкие 8 т</t>
  </si>
  <si>
    <t>120907</t>
  </si>
  <si>
    <t>ЦЭМ Пенз. обл.120907 Пр. Минстроя России от 27.02.2015 № 140/пр</t>
  </si>
  <si>
    <t>Катки дорожные самоходные гладкие 13 т</t>
  </si>
  <si>
    <t>121803</t>
  </si>
  <si>
    <t>ЦЭМ Пенз. обл.121803 Пр. Минстроя России от 27.02.2015 № 140/пр</t>
  </si>
  <si>
    <t>Распределители каменной мелочи</t>
  </si>
  <si>
    <t>120101</t>
  </si>
  <si>
    <t>ЦЭМ Пенз. обл.120101 Пр. Минстроя России от 27.02.2015 № 140/пр</t>
  </si>
  <si>
    <t>Автогудронаторы 3500 л</t>
  </si>
  <si>
    <t>101-1561</t>
  </si>
  <si>
    <t>ССЦ Пенз. обл.101-1561 Пр. Минстроя России от 27.02.2015 № 140/пр</t>
  </si>
  <si>
    <t>Битумы нефтяные дорожные жидкие, класс МГ, СГ</t>
  </si>
  <si>
    <t>1-1041-58</t>
  </si>
  <si>
    <t>Затраты труда рабочих (средний разряд 4,1)</t>
  </si>
  <si>
    <t>122000</t>
  </si>
  <si>
    <t>ЦЭМ Пенз. обл.122000 Пр. Минстроя России от 27.02.2015 № 140/пр</t>
  </si>
  <si>
    <t>Укладчики асфальтобетона</t>
  </si>
  <si>
    <t>101-0322</t>
  </si>
  <si>
    <t>ССЦ Пенз. обл.101-0322 Пр. Минстроя России от 27.02.2015 № 140/пр</t>
  </si>
  <si>
    <t>Керосин для технических целей марок КТ-1, КТ-2</t>
  </si>
  <si>
    <t>1-1032-58</t>
  </si>
  <si>
    <t>Затраты труда рабочих (средний разряд 3,2)</t>
  </si>
  <si>
    <t>030301</t>
  </si>
  <si>
    <t>ЦЭМ Пенз. обл.030301 Пр. Минстроя России от 27.02.2015 № 140/пр</t>
  </si>
  <si>
    <t>Лебедки ручные и рычажные тяговым усилием до 9,81 кН (1 т)</t>
  </si>
  <si>
    <t>120909</t>
  </si>
  <si>
    <t>ЦЭМ Пенз. обл.120909 Пр. Минстроя России от 27.02.2015 № 140/пр</t>
  </si>
  <si>
    <t>Каток самоходный ДУ-84, гладковальцевый, 14 т</t>
  </si>
  <si>
    <t>121231</t>
  </si>
  <si>
    <t>ЦЭМ Пенз. обл.121231 Пр. Минстроя России от 27.02.2015 № 140/пр</t>
  </si>
  <si>
    <t>Перегружатель асфальтовой смеси, емкость бункера до 25 т</t>
  </si>
  <si>
    <t>381202</t>
  </si>
  <si>
    <t>ЦЭМ Пенз. обл.381202 Пр. Минстроя России от 27.02.2015 № 140/пр</t>
  </si>
  <si>
    <t>Асфальтоукладчик гусеничный типа ABG Titan 325 с шириной укладки от 2 до 5 м</t>
  </si>
  <si>
    <t>381204</t>
  </si>
  <si>
    <t>ЦЭМ Пенз. обл.381204 Пр. Минстроя России от 27.02.2015 № 140/пр</t>
  </si>
  <si>
    <t>Разогреватель швов ABACUS</t>
  </si>
  <si>
    <t>381205</t>
  </si>
  <si>
    <t>ЦЭМ Пенз. обл.381205 Пр. Минстроя России от 27.02.2015 № 140/пр</t>
  </si>
  <si>
    <t>Каток самоходный ABG DD 74 гладковальцевый, 7т</t>
  </si>
  <si>
    <t>381206</t>
  </si>
  <si>
    <t>ЦЭМ Пенз. обл.381206 Пр. Минстроя России от 27.02.2015 № 140/пр</t>
  </si>
  <si>
    <t>Каток самоходный BW-20R, тандемный на пневмоколесном ходу, 12т</t>
  </si>
  <si>
    <t>381207</t>
  </si>
  <si>
    <t>ЦЭМ Пенз. обл.381207 Пр. Минстроя России от 27.02.2015 № 140/пр</t>
  </si>
  <si>
    <t>Каток самоходный ABG DD 90, тандемный гладковальцевый, 10т</t>
  </si>
  <si>
    <t>391751</t>
  </si>
  <si>
    <t>ЦЭМ Пенз. обл.391751 Пр. Минстроя России от 27.02.2015 № 140/пр</t>
  </si>
  <si>
    <t>Компрессоры передвижные, давление 2,0 МПа, производительность 60 м3/мин</t>
  </si>
  <si>
    <t>393010</t>
  </si>
  <si>
    <t>ЦЭМ Пенз. обл.393010 Пр. Минстроя России от 27.02.2015 № 140/пр</t>
  </si>
  <si>
    <t>Нарезчик швов FS-520</t>
  </si>
  <si>
    <t>400302</t>
  </si>
  <si>
    <t>ЦЭМ Пенз. обл.400302 Пр. Минстроя России от 27.02.2015 № 140/пр</t>
  </si>
  <si>
    <t>Спецавтомашины типа УАЗ</t>
  </si>
  <si>
    <t>101-0782</t>
  </si>
  <si>
    <t>ССЦ Пенз. обл.101-0782 Пр. Минстроя России от 27.02.2015 № 140/пр</t>
  </si>
  <si>
    <t>Поковки из квадратных заготовок, масса 1,8 кг</t>
  </si>
  <si>
    <t>101-1659</t>
  </si>
  <si>
    <t>ССЦ Пенз. обл.101-1659 Пр. Минстроя России от 27.02.2015 № 140/пр</t>
  </si>
  <si>
    <t>Диск алмазный для твердых материалов, диаметр 350 мм</t>
  </si>
  <si>
    <t>101-1682</t>
  </si>
  <si>
    <t>ССЦ Пенз. обл.101-1682 Пр. Минстроя России от 27.02.2015 № 140/пр</t>
  </si>
  <si>
    <t>Шнур полиамидный крученый, диаметром 2 мм</t>
  </si>
  <si>
    <t>101-1797</t>
  </si>
  <si>
    <t>ССЦ Пенз. обл.101-1797 Пр. Минстроя России от 27.02.2015 № 140/пр</t>
  </si>
  <si>
    <t>Эмульсия битумно-дорожная</t>
  </si>
  <si>
    <t>101-1929</t>
  </si>
  <si>
    <t>ССЦ Пенз. обл.101-1929 Пр. Минстроя России от 27.02.2015 № 140/пр</t>
  </si>
  <si>
    <t>Болты анкерные</t>
  </si>
  <si>
    <t>204-0007</t>
  </si>
  <si>
    <t>ССЦ Пенз. обл.204-0007 Пр. Минстроя России от 27.02.2015 № 140/пр</t>
  </si>
  <si>
    <t>Горячекатаная арматурная сталь гладкая класса А-I, диаметром 20-22 мм</t>
  </si>
  <si>
    <t>411-0002</t>
  </si>
  <si>
    <t>ССЦ Пенз. обл.411-0002 Пр. Минстроя России от 27.02.2015 № 140/пр</t>
  </si>
  <si>
    <t>Вода водопроводная</t>
  </si>
  <si>
    <t>0-3306-58</t>
  </si>
  <si>
    <t>Электромонтажник-наладчик 6 разряда</t>
  </si>
  <si>
    <t>2-0023-58</t>
  </si>
  <si>
    <t>Инженер по наладке и испытаниям III категории</t>
  </si>
  <si>
    <t>110-0199</t>
  </si>
  <si>
    <t>ССЦ Пенз. обл.110-0199 Пр. Минстроя России от 27.02.2015 № 140/пр</t>
  </si>
  <si>
    <t>Полимер для стабилизации буровых скважин EZ MUD</t>
  </si>
  <si>
    <t>407-0005</t>
  </si>
  <si>
    <t>ССЦ Пенз. обл.407-0005 Пр. Минстроя России от 27.02.2015 № 140/пр</t>
  </si>
  <si>
    <t>Глина бентонитовая</t>
  </si>
  <si>
    <t>103-9011</t>
  </si>
  <si>
    <t>ССЦ Пенз. обл.103-9011 Пр. Минстроя России от 27.02.2015 № 140/пр</t>
  </si>
  <si>
    <t>Трубы стальные</t>
  </si>
  <si>
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 325 мм (110/325=0,3385)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</si>
  <si>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</si>
  <si>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</si>
  <si>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</si>
  <si>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</si>
  <si>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</si>
  <si>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</si>
  <si>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</si>
  <si>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</si>
  <si>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</si>
  <si>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</si>
  <si>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</si>
  <si>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</si>
  <si>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</si>
  <si>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</si>
  <si>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</si>
  <si>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</si>
  <si>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</si>
  <si>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</si>
  <si>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</si>
  <si>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</si>
  <si>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</si>
  <si>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</si>
  <si>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</si>
  <si>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</si>
  <si>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</si>
  <si>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</si>
  <si>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</si>
  <si>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</si>
  <si>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</si>
  <si>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</si>
  <si>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Базисно-индексный</t>
  </si>
  <si>
    <t>Составлена в ценах сентябрь 2023 года (1.01.2000)</t>
  </si>
  <si>
    <t>Раздел: Земляные работы</t>
  </si>
  <si>
    <r>
      <t>Копание ям вручную без креплений для стоек и столбов без откосов глубиной до 0,7 м, группа грунтов 2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</si>
  <si>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ОТ</t>
  </si>
  <si>
    <t>ЗТ</t>
  </si>
  <si>
    <t>чел-ч</t>
  </si>
  <si>
    <t>Итого по расценке</t>
  </si>
  <si>
    <t>ФОТ</t>
  </si>
  <si>
    <t>НР Земляные работы, выполняемые: ручным способом</t>
  </si>
  <si>
    <t>%</t>
  </si>
  <si>
    <t>СП Земляные работы, выполняемые: ручным способом</t>
  </si>
  <si>
    <t>Всего по позиции</t>
  </si>
  <si>
    <r>
      <t>Засыпка вручную траншей, пазух котлованов и ям, группа грунтов 1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</si>
  <si>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r>
      <t>Разработка грунта в отвал экскаваторами &lt;драглайн&gt; или &lt;обратная лопата&gt; с ковшом вместимостью 0,25 м3, группа грунтов 2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</si>
  <si>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ЭМ</t>
  </si>
  <si>
    <t>в т.ч. ОТм</t>
  </si>
  <si>
    <t>ЗТм</t>
  </si>
  <si>
    <t>НР Земляные работы, выполняемые: механизированным способом</t>
  </si>
  <si>
    <t>СП Земляные работы, выполняемые: механизированным способом</t>
  </si>
  <si>
    <r>
      <t>Разработка грунта вручную в траншеях глубиной до 2 м без креплений с откосами, группа грунтов 2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</si>
  <si>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r>
      <t>Засыпка траншей и котлованов с перемещением грунта до 5 м бульдозерами мощностью 59 кВт (80 л.с.), группа грунтов 2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</si>
  <si>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r>
      <t>Уплотнение грунта пневматическими трамбовками, группа грунтов 1-2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</si>
  <si>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НР Земляные работы, выполняемые: по другим видам работ (подготовительные, сопутствующие, укрепительные)</t>
  </si>
  <si>
    <t>СП Земляные работы, выполняемые: по другим видам работ (подготовительные, сопутствующие, укрепительные)</t>
  </si>
  <si>
    <r>
      <t>Укладка трубопроводов из полиэтиленовых труб диаметром 100 мм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</si>
  <si>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М</t>
  </si>
  <si>
    <t>НР Наружные сети водопровода, канализации, теплоснабжения, газопроводы</t>
  </si>
  <si>
    <t>СП Наружные сети водопровода, канализации, теплоснабжения, газопроводы</t>
  </si>
  <si>
    <r>
      <t>Подготовка почвы для устройства партерного и обыкновенного газона с внесением растительной земли слоем 15 см вручную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</si>
  <si>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НР Озеленение. Защитные лесонасаждения</t>
  </si>
  <si>
    <t>СП Озеленение. Защитные лесонасаждения</t>
  </si>
  <si>
    <r>
      <t>На каждые 5 см изменения толщины слоя добавлять или исключать к расценкам с 47-01-046-01 по 47-01-046-04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</si>
  <si>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Итого прямые затраты по разделу (в базисном уровне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</si>
  <si>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</si>
  <si>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</si>
  <si>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</si>
  <si>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</si>
  <si>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</si>
  <si>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уровне цен) (справочно)</t>
  </si>
  <si>
    <t>Итого накладные расходы (в базисном уровне цен)</t>
  </si>
  <si>
    <t>Итого сметная прибыль (в базисном уровне цен)</t>
  </si>
  <si>
    <t>Итого оборудование (в базисном уровне цен)</t>
  </si>
  <si>
    <t>Итого прочие затраты (в базисном уровне цен)</t>
  </si>
  <si>
    <t>Итого по разделу (в базисном уровне цен)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</si>
  <si>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</si>
  <si>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</si>
  <si>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Монтажные работы</t>
  </si>
  <si>
    <r>
      <t>Устройство постели при одном кабеле в траншее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</si>
  <si>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НР Электротехнические установки: на других объектах</t>
  </si>
  <si>
    <t>СП Электротехнические установки: на других объектах</t>
  </si>
  <si>
    <r>
      <t>Покрытие кабеля, проложенного в траншее кирпичом одного кабеля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</si>
  <si>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r>
      <t>Кабель до 35 кВ в готовых траншеях без покрытий, масса 1 м до 2 кг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</si>
  <si>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r>
      <t>Кабель до 35 кВ в проложенных трубах, блоках и коробах, масса 1 м кабеля до 2 кг ( в т.ч ГНБ-74м)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</si>
  <si>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r>
      <t>Кабель до 35 кВ по установленным конструкциям и лоткам с креплением по всей длине, масса 1 м кабеля до 2 кг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</si>
  <si>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r>
      <t>Кабель до 35 кВ, прокладываемый по дну канала без креплений, масса 1 м кабеля до 2 кг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</si>
  <si>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r>
      <t>Снятие с кабеля верхнего джутового покрова, масса 1 м кабеля до 9 кг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</si>
  <si>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r>
      <t>Муфта концевая эпоксидная для 3-жильного кабеля напряжением 1 кВ, сечение одной жилы до 70 мм2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</si>
  <si>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r>
      <t>Присоединение к зажимам жил проводов или кабелей сечением до 70 мм2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</si>
  <si>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r>
      <t>Муфта соединительная свинцовая с защитным кожухом для кабеля напряжением до 10 кВ без заливки кожуха массой, сечение жил до 70 мм2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</si>
  <si>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r>
      <t>Герметизация проходов при вводе кабелей во взрывоопасные помещения уплотнительной массой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</si>
  <si>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Исключен
Уплотнительный состав</t>
  </si>
  <si>
    <r>
      <t>Предохранитель, устанавливаемый на изоляционном основании, на ток до 250 А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</si>
  <si>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t>Раздел: Пересечение дороги методом ГНБ ( 1х17м, 1х20м, 1х40м)</t>
  </si>
  <si>
    <t>НР Скважины</t>
  </si>
  <si>
    <t>СП Скважины</t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</si>
  <si>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 325 мм (110/325=0,3385)</t>
    </r>
    <r>
      <rPr>
        <i/>
        <sz val="10"/>
        <rFont val="Arial"/>
        <family val="2"/>
      </rPr>
      <t xml:space="preserve">
Поправки к: 
ЭМ *0,3385;   
ОТм *0,3385;   
ОТ *0,3385;   
ЗТ *0,3385;   
ЗТм *0,3385</t>
    </r>
  </si>
  <si>
    <t>Раздел: Вскрытие и восстановление асфальта</t>
  </si>
  <si>
    <r>
      <t>Разборка покрытий и оснований асфальтобетонных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</si>
  <si>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НР Автомобильные дороги</t>
  </si>
  <si>
    <t>СП Автомобильные дороги</t>
  </si>
  <si>
    <r>
      <t>Разборка покрытий и оснований щебеночных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</si>
  <si>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r>
      <t>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</si>
  <si>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Исключен
Щебень из природного камня для строительных работ марка 600, фракция 40-70 мм</t>
  </si>
  <si>
    <t>Исключен
Щебень из природного камня для строительных работ марка 600, фракция 10-20 мм</t>
  </si>
  <si>
    <r>
      <t>На каждый 1 см изменения толщины слоя добавлять или исключать к расценкам 27-04-007-01, 27-04-007-02, 27-04-007-03</t>
    </r>
    <r>
      <rPr>
        <i/>
        <sz val="10"/>
        <rFont val="Arial"/>
        <family val="2"/>
      </rPr>
      <t xml:space="preserve">
Поправки к: 
М *5;   
ЭМ *1,15*5*1,2;   
ОТм *1,15*5*1,2;   
ОТ *1,15*5*1,2;   
ЗТ *1,15*5*1,2;   
ЗТм *1,15*5*1,2</t>
    </r>
  </si>
  <si>
    <r>
      <t>Розлив вяжущих материалов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</si>
  <si>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r>
      <t>Битумы нефтяные дорожные БНД-100/130</t>
    </r>
    <r>
      <rPr>
        <i/>
        <sz val="10"/>
        <rFont val="Arial"/>
        <family val="2"/>
      </rPr>
      <t xml:space="preserve">
29 166,67 = [35 000 / 1,2]</t>
    </r>
  </si>
  <si>
    <r>
      <t>Устройство выравнивающего слоя из асфальтобетонной смеси с применением укладчиков асфальтобетона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</si>
  <si>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Исключен
Смеси асфальтобетонные дорожные, аэродромные и асфальтобетон (холодные), марка II Бх</t>
  </si>
  <si>
    <r>
      <t>Устройство покрытия толщиной 4 см из горячих асфальтобетонных смесей плотных мелкозернистых типа А,Б,В, плотность каменных материалов 2,5-2,9 т/м3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</si>
  <si>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Исключен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</si>
  <si>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Раздел: Материалы</t>
  </si>
  <si>
    <r>
      <t>Кабель АВБбШв 4*70</t>
    </r>
    <r>
      <rPr>
        <i/>
        <sz val="10"/>
        <rFont val="Arial"/>
        <family val="2"/>
      </rPr>
      <t xml:space="preserve">
777,68 = [867,22 / 1,2] +  5,5% Трансп +  2% Заг.скл</t>
    </r>
  </si>
  <si>
    <r>
      <t>Кирпич керамический</t>
    </r>
    <r>
      <rPr>
        <i/>
        <sz val="10"/>
        <rFont val="Arial"/>
        <family val="2"/>
      </rPr>
      <t xml:space="preserve">
21,52 = [24 / 1,2] +  5,5% Трансп +  2% Заг.скл</t>
    </r>
  </si>
  <si>
    <r>
      <t>Уплотнитель кабельных проходов УКПТ-175/50 КВТ</t>
    </r>
    <r>
      <rPr>
        <i/>
        <sz val="10"/>
        <rFont val="Arial"/>
        <family val="2"/>
      </rPr>
      <t xml:space="preserve">
626,83 = [699 / 1,2] +  5,5% Трансп +  2% Заг.скл</t>
    </r>
  </si>
  <si>
    <t>Раздел: Пусконаладочные работы</t>
  </si>
  <si>
    <r>
      <t>Фазировка электрической линии или трансформатора с сетью напряжением до 1 кВ</t>
    </r>
    <r>
      <rPr>
        <i/>
        <sz val="10"/>
        <rFont val="Arial"/>
        <family val="2"/>
      </rPr>
      <t xml:space="preserve">
Поправки к: 
ОТ *1,2;   
ЗТ *1,2</t>
    </r>
  </si>
  <si>
    <t>НР Пусконаладочные работы</t>
  </si>
  <si>
    <t>СП Пусконаладочные работы</t>
  </si>
  <si>
    <r>
  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  </r>
    <r>
      <rPr>
        <i/>
        <sz val="10"/>
        <rFont val="Arial"/>
        <family val="2"/>
      </rPr>
      <t xml:space="preserve">
Поправки к: 
ОТ *1,2;   
ЗТ *1,2</t>
    </r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</si>
  <si>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</si>
  <si>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</si>
  <si>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</si>
  <si>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</si>
  <si>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</si>
  <si>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</si>
  <si>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</si>
  <si>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   пусконаладочные работы</t>
  </si>
  <si>
    <t xml:space="preserve">  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</si>
  <si>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</si>
  <si>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</si>
  <si>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</si>
  <si>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НДС 20%</t>
  </si>
  <si>
    <t>Всего по смете</t>
  </si>
  <si>
    <r>
      <rPr>
        <b/>
        <sz val="14"/>
        <rFont val="Times New Roman"/>
        <family val="1"/>
      </rPr>
      <t>Наименование стройки</t>
    </r>
    <r>
      <rPr>
        <sz val="14"/>
        <rFont val="Times New Roman"/>
        <family val="1"/>
      </rPr>
      <t>: Технологическое присоединение ВРУ с ЛЭП нежилого здания в границах земельного участка с кадастровым №58:29:1007005:57, г.Пенза, ул.Рахманинова, д.2Б</t>
    </r>
  </si>
  <si>
    <t>Код 2022-00998-А-ТП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</si>
  <si>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</si>
  <si>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Заявитель: Индивидуальный предприниматель Беспалов Д.В, Машошин П.В, Чураков П.П.</t>
  </si>
  <si>
    <t xml:space="preserve">                 </t>
  </si>
  <si>
    <t>С М Е Т А   № 114-06-23-ЭС</t>
  </si>
  <si>
    <r>
      <t>Наименование объекта:</t>
    </r>
    <r>
      <rPr>
        <sz val="12"/>
        <rFont val="Arial"/>
        <family val="2"/>
      </rPr>
      <t xml:space="preserve"> КЛ-1 кВ от РУ-0,4 кВ ТП-858 до муфты М1</t>
    </r>
  </si>
  <si>
    <t>Муфта термоусаживаемая соединительная для кабеля с пропитанной бумажной изоляцией на напряжение до 1 кВ марки 4ПСТ-1-70/120 с болтовыми соединителями и комплектом пайки для присоединения заземления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</si>
</sst>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.000"/>
    <numFmt numFmtId="179" formatCode="#,##0.00;[Red]\-\ #,##0.00"/>
    <numFmt numFmtId="180" formatCode="0.0000"/>
    <numFmt numFmtId="181" formatCode="#,##0;[Red]\-\ #,##0"/>
    <numFmt numFmtId="182" formatCode="#,##0.00#####;[Red]\-\ #,##0.00#####"/>
    <numFmt numFmtId="183" formatCode="#,##0.00_ ;[Red]\-#,##0.00\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Alignment="1">
      <alignment/>
    </xf>
    <xf numFmtId="178" fontId="13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79" fontId="13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179" fontId="0" fillId="0" borderId="0" xfId="0" applyNumberFormat="1" applyAlignment="1">
      <alignment/>
    </xf>
    <xf numFmtId="181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179" fontId="0" fillId="0" borderId="0" xfId="0" applyNumberFormat="1" applyFont="1" applyAlignment="1">
      <alignment horizontal="right"/>
    </xf>
    <xf numFmtId="179" fontId="13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179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179" fontId="17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79" fontId="15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179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0" fontId="15" fillId="0" borderId="0" xfId="56" applyFont="1" applyAlignment="1">
      <alignment vertical="center"/>
      <protection/>
    </xf>
    <xf numFmtId="0" fontId="1" fillId="0" borderId="0" xfId="56" applyFont="1" applyAlignment="1">
      <alignment horizontal="left" vertical="center" wrapText="1"/>
      <protection/>
    </xf>
    <xf numFmtId="0" fontId="15" fillId="0" borderId="0" xfId="56" applyFont="1" applyAlignment="1">
      <alignment horizontal="left" vertical="center" wrapText="1"/>
      <protection/>
    </xf>
    <xf numFmtId="0" fontId="15" fillId="0" borderId="0" xfId="56" applyFont="1" applyAlignment="1">
      <alignment horizontal="right" vertical="center"/>
      <protection/>
    </xf>
    <xf numFmtId="179" fontId="15" fillId="0" borderId="0" xfId="56" applyNumberFormat="1" applyFont="1" applyAlignment="1">
      <alignment horizontal="right" vertical="center"/>
      <protection/>
    </xf>
    <xf numFmtId="0" fontId="0" fillId="0" borderId="0" xfId="58">
      <alignment/>
      <protection/>
    </xf>
    <xf numFmtId="0" fontId="13" fillId="0" borderId="10" xfId="56" applyFont="1" applyBorder="1">
      <alignment/>
      <protection/>
    </xf>
    <xf numFmtId="0" fontId="0" fillId="0" borderId="0" xfId="56">
      <alignment/>
      <protection/>
    </xf>
    <xf numFmtId="0" fontId="13" fillId="0" borderId="0" xfId="56" applyFont="1">
      <alignment/>
      <protection/>
    </xf>
    <xf numFmtId="0" fontId="12" fillId="0" borderId="0" xfId="53" applyFont="1">
      <alignment/>
      <protection/>
    </xf>
    <xf numFmtId="0" fontId="0" fillId="0" borderId="0" xfId="53">
      <alignment/>
      <protection/>
    </xf>
    <xf numFmtId="0" fontId="13" fillId="0" borderId="0" xfId="55" applyFont="1" applyAlignment="1">
      <alignment vertical="center" wrapText="1"/>
      <protection/>
    </xf>
    <xf numFmtId="0" fontId="0" fillId="0" borderId="0" xfId="57" applyFont="1">
      <alignment/>
      <protection/>
    </xf>
    <xf numFmtId="0" fontId="13" fillId="0" borderId="0" xfId="54" applyFont="1">
      <alignment/>
      <protection/>
    </xf>
    <xf numFmtId="0" fontId="19" fillId="0" borderId="0" xfId="57" applyFont="1">
      <alignment/>
      <protection/>
    </xf>
    <xf numFmtId="0" fontId="13" fillId="0" borderId="0" xfId="57" applyFont="1">
      <alignment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179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179" fontId="22" fillId="0" borderId="0" xfId="0" applyNumberFormat="1" applyFont="1" applyAlignment="1">
      <alignment horizontal="right" vertical="center"/>
    </xf>
    <xf numFmtId="0" fontId="21" fillId="0" borderId="0" xfId="56" applyFont="1" applyAlignment="1">
      <alignment vertical="center"/>
      <protection/>
    </xf>
    <xf numFmtId="0" fontId="21" fillId="0" borderId="0" xfId="56" applyFont="1" applyAlignment="1">
      <alignment horizontal="left" vertical="center" wrapText="1"/>
      <protection/>
    </xf>
    <xf numFmtId="0" fontId="21" fillId="0" borderId="0" xfId="56" applyFont="1" applyAlignment="1">
      <alignment horizontal="right" vertical="center"/>
      <protection/>
    </xf>
    <xf numFmtId="179" fontId="21" fillId="0" borderId="0" xfId="56" applyNumberFormat="1" applyFont="1" applyAlignment="1">
      <alignment horizontal="right" vertical="center"/>
      <protection/>
    </xf>
    <xf numFmtId="0" fontId="22" fillId="0" borderId="0" xfId="52" applyFont="1">
      <alignment/>
      <protection/>
    </xf>
    <xf numFmtId="4" fontId="21" fillId="0" borderId="0" xfId="54" applyNumberFormat="1" applyFont="1" applyBorder="1" applyAlignment="1">
      <alignment horizontal="right"/>
      <protection/>
    </xf>
    <xf numFmtId="0" fontId="22" fillId="0" borderId="0" xfId="52" applyFont="1" applyBorder="1">
      <alignment/>
      <protection/>
    </xf>
    <xf numFmtId="4" fontId="21" fillId="0" borderId="0" xfId="52" applyNumberFormat="1" applyFont="1" applyBorder="1">
      <alignment/>
      <protection/>
    </xf>
    <xf numFmtId="4" fontId="21" fillId="0" borderId="0" xfId="52" applyNumberFormat="1" applyFont="1">
      <alignment/>
      <protection/>
    </xf>
    <xf numFmtId="0" fontId="21" fillId="0" borderId="0" xfId="54" applyFont="1" applyBorder="1" applyAlignment="1">
      <alignment horizontal="left" vertical="center" wrapText="1"/>
      <protection/>
    </xf>
    <xf numFmtId="0" fontId="13" fillId="0" borderId="0" xfId="56" applyFont="1" applyAlignment="1">
      <alignment horizontal="right" vertical="center"/>
      <protection/>
    </xf>
    <xf numFmtId="0" fontId="13" fillId="0" borderId="0" xfId="56" applyFont="1" applyAlignment="1">
      <alignment horizontal="left"/>
      <protection/>
    </xf>
    <xf numFmtId="0" fontId="12" fillId="0" borderId="13" xfId="56" applyFont="1" applyBorder="1" applyAlignment="1">
      <alignment horizontal="center"/>
      <protection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79" fontId="15" fillId="0" borderId="13" xfId="0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 horizontal="left"/>
    </xf>
    <xf numFmtId="0" fontId="14" fillId="0" borderId="0" xfId="0" applyFont="1" applyBorder="1" applyAlignment="1">
      <alignment horizontal="center" vertical="top" wrapText="1"/>
    </xf>
    <xf numFmtId="0" fontId="19" fillId="0" borderId="0" xfId="57" applyFont="1" applyAlignment="1">
      <alignment horizontal="left" wrapText="1"/>
      <protection/>
    </xf>
    <xf numFmtId="0" fontId="19" fillId="0" borderId="0" xfId="55" applyFont="1" applyAlignment="1">
      <alignment vertical="center"/>
      <protection/>
    </xf>
    <xf numFmtId="0" fontId="20" fillId="0" borderId="0" xfId="57" applyFont="1" applyAlignment="1">
      <alignment horizontal="left" wrapText="1"/>
      <protection/>
    </xf>
    <xf numFmtId="0" fontId="19" fillId="0" borderId="0" xfId="57" applyFont="1" applyAlignment="1">
      <alignment horizontal="left" vertical="top" wrapText="1"/>
      <protection/>
    </xf>
    <xf numFmtId="0" fontId="21" fillId="0" borderId="0" xfId="57" applyFont="1" applyAlignment="1">
      <alignment horizontal="left"/>
      <protection/>
    </xf>
    <xf numFmtId="0" fontId="23" fillId="0" borderId="0" xfId="54" applyFont="1" applyAlignment="1">
      <alignment horizontal="center" wrapText="1"/>
      <protection/>
    </xf>
    <xf numFmtId="0" fontId="22" fillId="0" borderId="0" xfId="54" applyFont="1" applyBorder="1" applyAlignment="1">
      <alignment horizontal="left" vertical="center" wrapText="1"/>
      <protection/>
    </xf>
    <xf numFmtId="4" fontId="22" fillId="0" borderId="0" xfId="54" applyNumberFormat="1" applyFont="1" applyBorder="1" applyAlignment="1">
      <alignment horizontal="right"/>
      <protection/>
    </xf>
    <xf numFmtId="4" fontId="22" fillId="0" borderId="0" xfId="52" applyNumberFormat="1" applyFont="1" applyBorder="1">
      <alignment/>
      <protection/>
    </xf>
    <xf numFmtId="4" fontId="22" fillId="0" borderId="0" xfId="52" applyNumberFormat="1" applyFont="1">
      <alignment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40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63"/>
  <sheetViews>
    <sheetView tabSelected="1" view="pageBreakPreview" zoomScale="60" zoomScalePageLayoutView="0" workbookViewId="0" topLeftCell="A605">
      <selection activeCell="K644" sqref="K644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12" width="14.7109375" style="0" customWidth="1"/>
    <col min="15" max="94" width="0" style="0" hidden="1" customWidth="1"/>
    <col min="95" max="95" width="109.7109375" style="0" hidden="1" customWidth="1"/>
    <col min="96" max="99" width="0" style="0" hidden="1" customWidth="1"/>
  </cols>
  <sheetData>
    <row r="1" spans="1:12" ht="12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44.25" customHeight="1">
      <c r="A2" s="124" t="s">
        <v>872</v>
      </c>
      <c r="B2" s="124"/>
      <c r="C2" s="124"/>
      <c r="D2" s="124"/>
      <c r="E2" s="124"/>
      <c r="F2" s="124"/>
      <c r="G2" s="124"/>
      <c r="H2" s="71"/>
      <c r="I2" s="125" t="s">
        <v>873</v>
      </c>
      <c r="J2" s="125"/>
      <c r="K2" s="125"/>
      <c r="L2" s="125"/>
    </row>
    <row r="3" spans="1:12" ht="18.75">
      <c r="A3" s="126" t="s">
        <v>874</v>
      </c>
      <c r="B3" s="124"/>
      <c r="C3" s="124"/>
      <c r="D3" s="124"/>
      <c r="E3" s="124"/>
      <c r="F3" s="124"/>
      <c r="G3" s="72"/>
      <c r="H3" s="73"/>
      <c r="I3" s="127" t="s">
        <v>875</v>
      </c>
      <c r="J3" s="127"/>
      <c r="K3" s="127"/>
      <c r="L3" s="127"/>
    </row>
    <row r="4" spans="1:12" ht="15.75">
      <c r="A4" s="128" t="s">
        <v>878</v>
      </c>
      <c r="B4" s="128"/>
      <c r="C4" s="128"/>
      <c r="D4" s="128"/>
      <c r="E4" s="128"/>
      <c r="F4" s="128"/>
      <c r="G4" s="128"/>
      <c r="H4" s="72"/>
      <c r="I4" s="127"/>
      <c r="J4" s="127"/>
      <c r="K4" s="127"/>
      <c r="L4" s="127"/>
    </row>
    <row r="5" spans="1:12" ht="18.75">
      <c r="A5" s="72"/>
      <c r="B5" s="72"/>
      <c r="C5" s="72"/>
      <c r="D5" s="72"/>
      <c r="E5" s="72"/>
      <c r="F5" s="72"/>
      <c r="G5" s="72"/>
      <c r="H5" s="72"/>
      <c r="I5" s="74" t="s">
        <v>876</v>
      </c>
      <c r="J5" s="74"/>
      <c r="K5" s="74"/>
      <c r="L5" s="75"/>
    </row>
    <row r="6" spans="1:12" ht="14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5"/>
    </row>
    <row r="7" spans="1:12" ht="20.25">
      <c r="A7" s="129" t="s">
        <v>877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2.75">
      <c r="A8" s="9" t="s">
        <v>737</v>
      </c>
      <c r="B8" s="9"/>
      <c r="C8" s="11" t="s">
        <v>767</v>
      </c>
      <c r="D8" s="9" t="s">
        <v>738</v>
      </c>
      <c r="E8" s="9"/>
      <c r="F8" s="9"/>
      <c r="G8" s="9"/>
      <c r="H8" s="9"/>
      <c r="I8" s="9"/>
      <c r="J8" s="9"/>
      <c r="K8" s="9"/>
      <c r="L8" s="9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 t="s">
        <v>739</v>
      </c>
      <c r="B10" s="9"/>
      <c r="C10" s="122"/>
      <c r="D10" s="122"/>
      <c r="E10" s="122"/>
      <c r="F10" s="122"/>
      <c r="G10" s="122"/>
      <c r="H10" s="9"/>
      <c r="I10" s="9"/>
      <c r="J10" s="9"/>
      <c r="K10" s="9"/>
      <c r="L10" s="12"/>
    </row>
    <row r="11" spans="1:12" ht="12.75">
      <c r="A11" s="13"/>
      <c r="B11" s="14"/>
      <c r="C11" s="123" t="s">
        <v>740</v>
      </c>
      <c r="D11" s="123"/>
      <c r="E11" s="123"/>
      <c r="F11" s="123"/>
      <c r="G11" s="123"/>
      <c r="H11" s="15"/>
      <c r="I11" s="15"/>
      <c r="J11" s="15"/>
      <c r="K11" s="15"/>
      <c r="L11" s="15"/>
    </row>
    <row r="12" spans="1:12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4.25">
      <c r="A13" s="16" t="s">
        <v>768</v>
      </c>
      <c r="B13" s="10"/>
      <c r="C13" s="10"/>
      <c r="D13" s="17"/>
      <c r="E13" s="18"/>
      <c r="F13" s="10"/>
      <c r="G13" s="10"/>
      <c r="H13" s="10"/>
      <c r="I13" s="10"/>
      <c r="J13" s="10"/>
      <c r="K13" s="10"/>
      <c r="L13" s="10"/>
    </row>
    <row r="14" spans="1:12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4.25">
      <c r="A15" s="16" t="s">
        <v>741</v>
      </c>
      <c r="B15" s="10"/>
      <c r="C15" s="38">
        <f>C18+C19+C20+C21</f>
        <v>583.3</v>
      </c>
      <c r="D15" s="119">
        <f>D18+D19+D20+D21</f>
        <v>77.01</v>
      </c>
      <c r="E15" s="120"/>
      <c r="F15" s="19" t="s">
        <v>742</v>
      </c>
      <c r="G15" s="20"/>
      <c r="H15" s="20"/>
      <c r="I15" s="20"/>
      <c r="J15" s="20"/>
      <c r="K15" s="10"/>
      <c r="L15" s="10"/>
    </row>
    <row r="16" spans="1:12" ht="14.25">
      <c r="A16" s="10"/>
      <c r="B16" s="10"/>
      <c r="C16" s="30"/>
      <c r="D16" s="39"/>
      <c r="E16" s="20"/>
      <c r="F16" s="19"/>
      <c r="G16" s="19" t="s">
        <v>743</v>
      </c>
      <c r="H16" s="20"/>
      <c r="I16" s="20"/>
      <c r="J16" s="20"/>
      <c r="K16" s="10"/>
      <c r="L16" s="10"/>
    </row>
    <row r="17" spans="1:12" ht="14.25">
      <c r="A17" s="10"/>
      <c r="B17" s="21" t="s">
        <v>744</v>
      </c>
      <c r="C17" s="30"/>
      <c r="D17" s="39"/>
      <c r="E17" s="22"/>
      <c r="F17" s="19"/>
      <c r="G17" s="19" t="s">
        <v>745</v>
      </c>
      <c r="H17" s="20" t="s">
        <v>746</v>
      </c>
      <c r="I17" s="23">
        <f>ROUND((SUM(U28:U653))/1000,2)</f>
        <v>49.66</v>
      </c>
      <c r="J17" s="23">
        <f>ROUND((SUM(Q28:Q653))/1000,2)</f>
        <v>1.72</v>
      </c>
      <c r="K17" s="9" t="s">
        <v>742</v>
      </c>
      <c r="L17" s="10"/>
    </row>
    <row r="18" spans="1:12" ht="14.25">
      <c r="A18" s="10"/>
      <c r="B18" s="16" t="s">
        <v>747</v>
      </c>
      <c r="C18" s="38">
        <f>ROUND((ROUND(SUM(AO28:AO653)*Source!D445,2)+ROUND(SUM(AP28:AP653)*Source!E445,2)+ROUND(SUM(AQ28:AQ653)*Source!G445,2)+ROUND(SUM(AR28:AR653)*Source!L445,2)+SUM(AS28:AS653)+SUM(AT28:AT653))/1000,2)</f>
        <v>292.63</v>
      </c>
      <c r="D18" s="119">
        <f>ROUND((SUM(AN28:AN653)+SUM(AR28:AR653))/1000,2)</f>
        <v>31.01</v>
      </c>
      <c r="E18" s="120"/>
      <c r="F18" s="19" t="s">
        <v>742</v>
      </c>
      <c r="G18" s="19" t="s">
        <v>748</v>
      </c>
      <c r="H18" s="20"/>
      <c r="I18" s="19"/>
      <c r="J18" s="40">
        <f>Source!F364</f>
        <v>194.96256616</v>
      </c>
      <c r="K18" s="9" t="s">
        <v>445</v>
      </c>
      <c r="L18" s="10"/>
    </row>
    <row r="19" spans="1:12" ht="14.25">
      <c r="A19" s="10"/>
      <c r="B19" s="16" t="s">
        <v>749</v>
      </c>
      <c r="C19" s="38">
        <f>ROUND((ROUND(SUM(AY28:AY653)*Source!D445,2)+ROUND(SUM(AZ28:AZ653)*Source!E445,2)+ROUND(SUM(BA28:BA653)*Source!G445,2)+ROUND(SUM(BB28:BB653)*Source!L445,2)+SUM(BC28:BC653)+SUM(BD28:BD653))/1000,2)</f>
        <v>287.4</v>
      </c>
      <c r="D19" s="119">
        <f>ROUND((SUM(AX28:AX653)+SUM(BB28:BB653))/1000,2)</f>
        <v>45.89</v>
      </c>
      <c r="E19" s="120"/>
      <c r="F19" s="19" t="s">
        <v>742</v>
      </c>
      <c r="G19" s="19" t="s">
        <v>750</v>
      </c>
      <c r="H19" s="20"/>
      <c r="I19" s="19"/>
      <c r="J19" s="40">
        <f>Source!F365</f>
        <v>38.75990456</v>
      </c>
      <c r="K19" s="9" t="s">
        <v>445</v>
      </c>
      <c r="L19" s="10"/>
    </row>
    <row r="20" spans="1:12" ht="14.25">
      <c r="A20" s="10"/>
      <c r="B20" s="16" t="s">
        <v>751</v>
      </c>
      <c r="C20" s="38">
        <f>ROUND((ROUND(SUM(BH28:BH653)*Source!H445,2)+ROUND(SUM(BI28:BI653)*Source!L445,2))/1000,2)</f>
        <v>0</v>
      </c>
      <c r="D20" s="119">
        <f>ROUND((SUM(BH28:BH653)+SUM(BI28:BI653))/1000,2)</f>
        <v>0</v>
      </c>
      <c r="E20" s="120"/>
      <c r="F20" s="19" t="s">
        <v>742</v>
      </c>
      <c r="G20" s="19" t="s">
        <v>752</v>
      </c>
      <c r="H20" s="20"/>
      <c r="I20" s="19"/>
      <c r="J20" s="24"/>
      <c r="K20" s="10"/>
      <c r="L20" s="10"/>
    </row>
    <row r="21" spans="1:12" ht="14.25">
      <c r="A21" s="10"/>
      <c r="B21" s="16" t="s">
        <v>753</v>
      </c>
      <c r="C21" s="38">
        <f>ROUND((ROUND(SUM(BM28:BM653)*Source!I445,2)+SUM(BU28:BU653)+ROUND(SUM(BO28:BO653)*Source!H445,2)+ROUND(SUM(BP28:BP653)*Source!L445,2))/1000,2)</f>
        <v>3.27</v>
      </c>
      <c r="D21" s="119">
        <f>ROUND((SUM(BM28:BM653)+SUM(BN28:BN653)+SUM(BO28:BO653)+SUM(BP28:BP653))/1000,2)</f>
        <v>0.11</v>
      </c>
      <c r="E21" s="121"/>
      <c r="F21" s="19" t="s">
        <v>742</v>
      </c>
      <c r="G21" s="19" t="s">
        <v>754</v>
      </c>
      <c r="H21" s="20"/>
      <c r="I21" s="19">
        <f>Source!I20</f>
        <v>0</v>
      </c>
      <c r="J21" s="25">
        <f>Source!H20</f>
      </c>
      <c r="K21" s="10"/>
      <c r="L21" s="10"/>
    </row>
    <row r="22" spans="1:12" ht="14.25">
      <c r="A22" s="10"/>
      <c r="B22" s="10"/>
      <c r="C22" s="10"/>
      <c r="D22" s="20"/>
      <c r="E22" s="20"/>
      <c r="F22" s="20"/>
      <c r="G22" s="20"/>
      <c r="H22" s="20"/>
      <c r="I22" s="20"/>
      <c r="J22" s="20"/>
      <c r="K22" s="10"/>
      <c r="L22" s="10"/>
    </row>
    <row r="23" spans="1:12" ht="12.75">
      <c r="A23" s="116" t="s">
        <v>755</v>
      </c>
      <c r="B23" s="116" t="s">
        <v>756</v>
      </c>
      <c r="C23" s="116" t="s">
        <v>757</v>
      </c>
      <c r="D23" s="116" t="s">
        <v>758</v>
      </c>
      <c r="E23" s="107" t="s">
        <v>759</v>
      </c>
      <c r="F23" s="108"/>
      <c r="G23" s="109"/>
      <c r="H23" s="107" t="s">
        <v>760</v>
      </c>
      <c r="I23" s="108"/>
      <c r="J23" s="109"/>
      <c r="K23" s="116" t="s">
        <v>761</v>
      </c>
      <c r="L23" s="116" t="s">
        <v>762</v>
      </c>
    </row>
    <row r="24" spans="1:12" ht="12.75">
      <c r="A24" s="117"/>
      <c r="B24" s="117"/>
      <c r="C24" s="117"/>
      <c r="D24" s="117"/>
      <c r="E24" s="110"/>
      <c r="F24" s="111"/>
      <c r="G24" s="112"/>
      <c r="H24" s="110"/>
      <c r="I24" s="111"/>
      <c r="J24" s="112"/>
      <c r="K24" s="117"/>
      <c r="L24" s="117"/>
    </row>
    <row r="25" spans="1:12" ht="12.75">
      <c r="A25" s="117"/>
      <c r="B25" s="117"/>
      <c r="C25" s="117"/>
      <c r="D25" s="117"/>
      <c r="E25" s="113"/>
      <c r="F25" s="114"/>
      <c r="G25" s="115"/>
      <c r="H25" s="113"/>
      <c r="I25" s="114"/>
      <c r="J25" s="115"/>
      <c r="K25" s="117"/>
      <c r="L25" s="117"/>
    </row>
    <row r="26" spans="1:12" ht="25.5">
      <c r="A26" s="118"/>
      <c r="B26" s="118"/>
      <c r="C26" s="118"/>
      <c r="D26" s="118"/>
      <c r="E26" s="26" t="s">
        <v>763</v>
      </c>
      <c r="F26" s="26" t="s">
        <v>764</v>
      </c>
      <c r="G26" s="26" t="s">
        <v>765</v>
      </c>
      <c r="H26" s="26" t="s">
        <v>763</v>
      </c>
      <c r="I26" s="26" t="s">
        <v>764</v>
      </c>
      <c r="J26" s="26" t="s">
        <v>766</v>
      </c>
      <c r="K26" s="118"/>
      <c r="L26" s="118"/>
    </row>
    <row r="27" spans="1:12" ht="14.25">
      <c r="A27" s="27">
        <v>1</v>
      </c>
      <c r="B27" s="27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8">
        <v>11</v>
      </c>
      <c r="L27" s="29">
        <v>12</v>
      </c>
    </row>
    <row r="29" spans="1:12" ht="16.5">
      <c r="A29" s="106" t="s">
        <v>769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56" ht="119.25">
      <c r="A30" s="57">
        <v>1</v>
      </c>
      <c r="B30" s="57" t="str">
        <f>Source!F28</f>
        <v>01-02-058-2</v>
      </c>
      <c r="C30" s="57" t="s">
        <v>770</v>
      </c>
      <c r="D30" s="41" t="str">
        <f>Source!H28</f>
        <v>100 м3 грунта</v>
      </c>
      <c r="E30" s="37">
        <f>Source!K28</f>
        <v>0.015</v>
      </c>
      <c r="F30" s="37"/>
      <c r="G30" s="37">
        <f>Source!I28</f>
        <v>0.015</v>
      </c>
      <c r="H30" s="34"/>
      <c r="I30" s="42"/>
      <c r="J30" s="34"/>
      <c r="K30" s="42"/>
      <c r="L30" s="34"/>
      <c r="AG30">
        <f>Source!X28</f>
        <v>39.1</v>
      </c>
      <c r="AH30">
        <f>Source!HK28</f>
        <v>1131.09</v>
      </c>
      <c r="AI30">
        <f>Source!Y28</f>
        <v>17.57</v>
      </c>
      <c r="AJ30">
        <f>Source!HL28</f>
        <v>508.36</v>
      </c>
      <c r="AS30">
        <f>IF(Source!BI28&lt;=1,AH30,0)</f>
        <v>1131.09</v>
      </c>
      <c r="AT30">
        <f>IF(Source!BI28&lt;=1,AJ30,0)</f>
        <v>508.36</v>
      </c>
      <c r="BC30">
        <f>IF(Source!BI28=2,AH30,0)</f>
        <v>0</v>
      </c>
      <c r="BD30">
        <f>IF(Source!BI28=2,AJ30,0)</f>
        <v>0</v>
      </c>
    </row>
    <row r="32" ht="12.75">
      <c r="C32" s="31" t="str">
        <f>"Объем: "&amp;Source!K28&amp;"=1,5/"&amp;"100"</f>
        <v>Объем: 0,015=1,5/100</v>
      </c>
    </row>
    <row r="33" spans="1:12" ht="14.25">
      <c r="A33" s="57"/>
      <c r="B33" s="58">
        <v>1</v>
      </c>
      <c r="C33" s="57" t="s">
        <v>771</v>
      </c>
      <c r="D33" s="41"/>
      <c r="E33" s="37"/>
      <c r="F33" s="37"/>
      <c r="G33" s="37"/>
      <c r="H33" s="34">
        <f>Source!AO28</f>
        <v>2122.4</v>
      </c>
      <c r="I33" s="42">
        <f>ROUND(1.2*1.15,7)</f>
        <v>1.38</v>
      </c>
      <c r="J33" s="34">
        <f>ROUND(Source!AF28*Source!I28,2)</f>
        <v>43.93</v>
      </c>
      <c r="K33" s="42">
        <f>IF(Source!BA28&lt;&gt;0,Source!BA28,1)</f>
        <v>28.93</v>
      </c>
      <c r="L33" s="34">
        <f>Source!HJ28</f>
        <v>1270.89</v>
      </c>
    </row>
    <row r="34" spans="1:12" ht="14.25">
      <c r="A34" s="57"/>
      <c r="B34" s="57"/>
      <c r="C34" s="59" t="s">
        <v>772</v>
      </c>
      <c r="D34" s="43" t="s">
        <v>773</v>
      </c>
      <c r="E34" s="44">
        <f>Source!AQ28</f>
        <v>280</v>
      </c>
      <c r="F34" s="44">
        <f>ROUND(1.2*1.15,7)</f>
        <v>1.38</v>
      </c>
      <c r="G34" s="44">
        <f>ROUND(Source!U28,7)</f>
        <v>5.796</v>
      </c>
      <c r="H34" s="45"/>
      <c r="I34" s="46"/>
      <c r="J34" s="45"/>
      <c r="K34" s="46"/>
      <c r="L34" s="45"/>
    </row>
    <row r="35" spans="1:12" ht="14.25">
      <c r="A35" s="57"/>
      <c r="B35" s="57"/>
      <c r="C35" s="57" t="s">
        <v>774</v>
      </c>
      <c r="D35" s="41"/>
      <c r="E35" s="37"/>
      <c r="F35" s="37"/>
      <c r="G35" s="37"/>
      <c r="H35" s="34">
        <f>H33</f>
        <v>2122.4</v>
      </c>
      <c r="I35" s="42"/>
      <c r="J35" s="34">
        <f>J33</f>
        <v>43.93</v>
      </c>
      <c r="K35" s="42"/>
      <c r="L35" s="34"/>
    </row>
    <row r="36" spans="1:12" ht="14.25">
      <c r="A36" s="57"/>
      <c r="B36" s="57"/>
      <c r="C36" s="57" t="s">
        <v>775</v>
      </c>
      <c r="D36" s="41"/>
      <c r="E36" s="37"/>
      <c r="F36" s="37"/>
      <c r="G36" s="37"/>
      <c r="H36" s="34"/>
      <c r="I36" s="42"/>
      <c r="J36" s="34">
        <f>SUM(Q30:Q39)+SUM(V30:V39)+SUM(X30:X39)+SUM(Y30:Y39)</f>
        <v>43.93</v>
      </c>
      <c r="K36" s="42"/>
      <c r="L36" s="34">
        <f>SUM(U30:U39)+SUM(W30:W39)+SUM(Z30:Z39)+SUM(AA30:AA39)</f>
        <v>1270.89</v>
      </c>
    </row>
    <row r="37" spans="1:12" ht="28.5">
      <c r="A37" s="57"/>
      <c r="B37" s="57" t="s">
        <v>26</v>
      </c>
      <c r="C37" s="57" t="s">
        <v>776</v>
      </c>
      <c r="D37" s="41" t="s">
        <v>777</v>
      </c>
      <c r="E37" s="37">
        <f>Source!BZ28</f>
        <v>89</v>
      </c>
      <c r="F37" s="37"/>
      <c r="G37" s="37">
        <f>Source!AT28</f>
        <v>89</v>
      </c>
      <c r="H37" s="34"/>
      <c r="I37" s="42"/>
      <c r="J37" s="34">
        <f>SUM(AG30:AG39)</f>
        <v>39.1</v>
      </c>
      <c r="K37" s="42"/>
      <c r="L37" s="34">
        <f>SUM(AH30:AH39)</f>
        <v>1131.09</v>
      </c>
    </row>
    <row r="38" spans="1:12" ht="28.5">
      <c r="A38" s="59"/>
      <c r="B38" s="59" t="s">
        <v>27</v>
      </c>
      <c r="C38" s="59" t="s">
        <v>778</v>
      </c>
      <c r="D38" s="43" t="s">
        <v>777</v>
      </c>
      <c r="E38" s="44">
        <f>Source!CA28</f>
        <v>40</v>
      </c>
      <c r="F38" s="44"/>
      <c r="G38" s="44">
        <f>Source!AU28</f>
        <v>40</v>
      </c>
      <c r="H38" s="45"/>
      <c r="I38" s="46"/>
      <c r="J38" s="45">
        <f>SUM(AI30:AI39)</f>
        <v>17.57</v>
      </c>
      <c r="K38" s="46"/>
      <c r="L38" s="45">
        <f>SUM(AJ30:AJ39)</f>
        <v>508.36</v>
      </c>
    </row>
    <row r="39" spans="3:53" ht="15">
      <c r="C39" s="102" t="s">
        <v>779</v>
      </c>
      <c r="D39" s="102"/>
      <c r="E39" s="102"/>
      <c r="F39" s="102"/>
      <c r="G39" s="102"/>
      <c r="H39" s="102"/>
      <c r="I39" s="102">
        <f>J33+J37+J38</f>
        <v>100.6</v>
      </c>
      <c r="J39" s="102"/>
      <c r="O39" s="32">
        <f>I39</f>
        <v>100.6</v>
      </c>
      <c r="P39">
        <f>K39</f>
        <v>0</v>
      </c>
      <c r="Q39" s="32">
        <f>J33</f>
        <v>43.93</v>
      </c>
      <c r="R39" s="32">
        <f>J33</f>
        <v>43.93</v>
      </c>
      <c r="U39" s="32">
        <f>L33</f>
        <v>1270.89</v>
      </c>
      <c r="X39">
        <f>0</f>
        <v>0</v>
      </c>
      <c r="Z39">
        <f>0</f>
        <v>0</v>
      </c>
      <c r="AB39">
        <f>0</f>
        <v>0</v>
      </c>
      <c r="AD39">
        <f>0</f>
        <v>0</v>
      </c>
      <c r="AF39">
        <f>0</f>
        <v>0</v>
      </c>
      <c r="AN39">
        <f>IF(Source!BI28&lt;=1,J33+J37+J38,0)</f>
        <v>100.6</v>
      </c>
      <c r="AO39">
        <f>IF(Source!BI28&lt;=1,0,0)</f>
        <v>0</v>
      </c>
      <c r="AP39">
        <f>IF(Source!BI28&lt;=1,0,0)</f>
        <v>0</v>
      </c>
      <c r="AQ39">
        <f>IF(Source!BI28&lt;=1,J33,0)</f>
        <v>43.93</v>
      </c>
      <c r="AX39">
        <f>IF(Source!BI28=2,J33+J37+J38,0)</f>
        <v>0</v>
      </c>
      <c r="AY39">
        <f>IF(Source!BI28=2,0,0)</f>
        <v>0</v>
      </c>
      <c r="AZ39">
        <f>IF(Source!BI28=2,0,0)</f>
        <v>0</v>
      </c>
      <c r="BA39">
        <f>IF(Source!BI28=2,J33,0)</f>
        <v>0</v>
      </c>
    </row>
    <row r="40" spans="1:56" ht="105">
      <c r="A40" s="57">
        <v>2</v>
      </c>
      <c r="B40" s="57" t="str">
        <f>Source!F29</f>
        <v>01-02-061-1</v>
      </c>
      <c r="C40" s="57" t="s">
        <v>780</v>
      </c>
      <c r="D40" s="41" t="str">
        <f>Source!H29</f>
        <v>100 м3 грунта</v>
      </c>
      <c r="E40" s="37">
        <f>Source!K29</f>
        <v>0.015</v>
      </c>
      <c r="F40" s="37"/>
      <c r="G40" s="37">
        <f>Source!I29</f>
        <v>0.015</v>
      </c>
      <c r="H40" s="34"/>
      <c r="I40" s="42"/>
      <c r="J40" s="34"/>
      <c r="K40" s="42"/>
      <c r="L40" s="34"/>
      <c r="AG40">
        <f>Source!X29</f>
        <v>11.88</v>
      </c>
      <c r="AH40">
        <f>Source!HK29</f>
        <v>343.74</v>
      </c>
      <c r="AI40">
        <f>Source!Y29</f>
        <v>5.34</v>
      </c>
      <c r="AJ40">
        <f>Source!HL29</f>
        <v>154.49</v>
      </c>
      <c r="AS40">
        <f>IF(Source!BI29&lt;=1,AH40,0)</f>
        <v>343.74</v>
      </c>
      <c r="AT40">
        <f>IF(Source!BI29&lt;=1,AJ40,0)</f>
        <v>154.49</v>
      </c>
      <c r="BC40">
        <f>IF(Source!BI29=2,AH40,0)</f>
        <v>0</v>
      </c>
      <c r="BD40">
        <f>IF(Source!BI29=2,AJ40,0)</f>
        <v>0</v>
      </c>
    </row>
    <row r="42" ht="12.75">
      <c r="C42" s="31" t="str">
        <f>"Объем: "&amp;Source!K29&amp;"=1,5/"&amp;"100"</f>
        <v>Объем: 0,015=1,5/100</v>
      </c>
    </row>
    <row r="43" spans="1:12" ht="14.25">
      <c r="A43" s="57"/>
      <c r="B43" s="58">
        <v>1</v>
      </c>
      <c r="C43" s="57" t="s">
        <v>771</v>
      </c>
      <c r="D43" s="41"/>
      <c r="E43" s="37"/>
      <c r="F43" s="37"/>
      <c r="G43" s="37"/>
      <c r="H43" s="34">
        <f>Source!AO29</f>
        <v>645.17</v>
      </c>
      <c r="I43" s="42">
        <f>ROUND(1.2*1.15,7)</f>
        <v>1.38</v>
      </c>
      <c r="J43" s="34">
        <f>ROUND(Source!AF29*Source!I29,2)</f>
        <v>13.35</v>
      </c>
      <c r="K43" s="42">
        <f>IF(Source!BA29&lt;&gt;0,Source!BA29,1)</f>
        <v>28.93</v>
      </c>
      <c r="L43" s="34">
        <f>Source!HJ29</f>
        <v>386.22</v>
      </c>
    </row>
    <row r="44" spans="1:12" ht="14.25">
      <c r="A44" s="57"/>
      <c r="B44" s="57"/>
      <c r="C44" s="59" t="s">
        <v>772</v>
      </c>
      <c r="D44" s="43" t="s">
        <v>773</v>
      </c>
      <c r="E44" s="44">
        <f>Source!AQ29</f>
        <v>88.5</v>
      </c>
      <c r="F44" s="44">
        <f>ROUND(1.2*1.15,7)</f>
        <v>1.38</v>
      </c>
      <c r="G44" s="44">
        <f>ROUND(Source!U29,7)</f>
        <v>1.83195</v>
      </c>
      <c r="H44" s="45"/>
      <c r="I44" s="46"/>
      <c r="J44" s="45"/>
      <c r="K44" s="46"/>
      <c r="L44" s="45"/>
    </row>
    <row r="45" spans="1:12" ht="14.25">
      <c r="A45" s="57"/>
      <c r="B45" s="57"/>
      <c r="C45" s="57" t="s">
        <v>774</v>
      </c>
      <c r="D45" s="41"/>
      <c r="E45" s="37"/>
      <c r="F45" s="37"/>
      <c r="G45" s="37"/>
      <c r="H45" s="34">
        <f>H43</f>
        <v>645.17</v>
      </c>
      <c r="I45" s="42"/>
      <c r="J45" s="34">
        <f>J43</f>
        <v>13.35</v>
      </c>
      <c r="K45" s="42"/>
      <c r="L45" s="34"/>
    </row>
    <row r="46" spans="1:12" ht="14.25">
      <c r="A46" s="57"/>
      <c r="B46" s="57"/>
      <c r="C46" s="57" t="s">
        <v>775</v>
      </c>
      <c r="D46" s="41"/>
      <c r="E46" s="37"/>
      <c r="F46" s="37"/>
      <c r="G46" s="37"/>
      <c r="H46" s="34"/>
      <c r="I46" s="42"/>
      <c r="J46" s="34">
        <f>SUM(Q40:Q49)+SUM(V40:V49)+SUM(X40:X49)+SUM(Y40:Y49)</f>
        <v>13.35</v>
      </c>
      <c r="K46" s="42"/>
      <c r="L46" s="34">
        <f>SUM(U40:U49)+SUM(W40:W49)+SUM(Z40:Z49)+SUM(AA40:AA49)</f>
        <v>386.22</v>
      </c>
    </row>
    <row r="47" spans="1:12" ht="28.5">
      <c r="A47" s="57"/>
      <c r="B47" s="57" t="s">
        <v>26</v>
      </c>
      <c r="C47" s="57" t="s">
        <v>776</v>
      </c>
      <c r="D47" s="41" t="s">
        <v>777</v>
      </c>
      <c r="E47" s="37">
        <f>Source!BZ29</f>
        <v>89</v>
      </c>
      <c r="F47" s="37"/>
      <c r="G47" s="37">
        <f>Source!AT29</f>
        <v>89</v>
      </c>
      <c r="H47" s="34"/>
      <c r="I47" s="42"/>
      <c r="J47" s="34">
        <f>SUM(AG40:AG49)</f>
        <v>11.88</v>
      </c>
      <c r="K47" s="42"/>
      <c r="L47" s="34">
        <f>SUM(AH40:AH49)</f>
        <v>343.74</v>
      </c>
    </row>
    <row r="48" spans="1:12" ht="28.5">
      <c r="A48" s="59"/>
      <c r="B48" s="59" t="s">
        <v>27</v>
      </c>
      <c r="C48" s="59" t="s">
        <v>778</v>
      </c>
      <c r="D48" s="43" t="s">
        <v>777</v>
      </c>
      <c r="E48" s="44">
        <f>Source!CA29</f>
        <v>40</v>
      </c>
      <c r="F48" s="44"/>
      <c r="G48" s="44">
        <f>Source!AU29</f>
        <v>40</v>
      </c>
      <c r="H48" s="45"/>
      <c r="I48" s="46"/>
      <c r="J48" s="45">
        <f>SUM(AI40:AI49)</f>
        <v>5.34</v>
      </c>
      <c r="K48" s="46"/>
      <c r="L48" s="45">
        <f>SUM(AJ40:AJ49)</f>
        <v>154.49</v>
      </c>
    </row>
    <row r="49" spans="3:53" ht="15">
      <c r="C49" s="102" t="s">
        <v>779</v>
      </c>
      <c r="D49" s="102"/>
      <c r="E49" s="102"/>
      <c r="F49" s="102"/>
      <c r="G49" s="102"/>
      <c r="H49" s="102"/>
      <c r="I49" s="102">
        <f>J43+J47+J48</f>
        <v>30.57</v>
      </c>
      <c r="J49" s="102"/>
      <c r="O49" s="32">
        <f>I49</f>
        <v>30.57</v>
      </c>
      <c r="P49">
        <f>K49</f>
        <v>0</v>
      </c>
      <c r="Q49" s="32">
        <f>J43</f>
        <v>13.35</v>
      </c>
      <c r="R49" s="32">
        <f>J43</f>
        <v>13.35</v>
      </c>
      <c r="U49" s="32">
        <f>L43</f>
        <v>386.22</v>
      </c>
      <c r="X49">
        <f>0</f>
        <v>0</v>
      </c>
      <c r="Z49">
        <f>0</f>
        <v>0</v>
      </c>
      <c r="AB49">
        <f>0</f>
        <v>0</v>
      </c>
      <c r="AD49">
        <f>0</f>
        <v>0</v>
      </c>
      <c r="AF49">
        <f>0</f>
        <v>0</v>
      </c>
      <c r="AN49">
        <f>IF(Source!BI29&lt;=1,J43+J47+J48,0)</f>
        <v>30.57</v>
      </c>
      <c r="AO49">
        <f>IF(Source!BI29&lt;=1,0,0)</f>
        <v>0</v>
      </c>
      <c r="AP49">
        <f>IF(Source!BI29&lt;=1,0,0)</f>
        <v>0</v>
      </c>
      <c r="AQ49">
        <f>IF(Source!BI29&lt;=1,J43,0)</f>
        <v>13.35</v>
      </c>
      <c r="AX49">
        <f>IF(Source!BI29=2,J43+J47+J48,0)</f>
        <v>0</v>
      </c>
      <c r="AY49">
        <f>IF(Source!BI29=2,0,0)</f>
        <v>0</v>
      </c>
      <c r="AZ49">
        <f>IF(Source!BI29=2,0,0)</f>
        <v>0</v>
      </c>
      <c r="BA49">
        <f>IF(Source!BI29=2,J43,0)</f>
        <v>0</v>
      </c>
    </row>
    <row r="50" spans="1:56" ht="147.75">
      <c r="A50" s="57">
        <v>3</v>
      </c>
      <c r="B50" s="57" t="str">
        <f>Source!F30</f>
        <v>01-01-004-5</v>
      </c>
      <c r="C50" s="57" t="s">
        <v>781</v>
      </c>
      <c r="D50" s="41" t="str">
        <f>Source!H30</f>
        <v>1000 м3 грунта</v>
      </c>
      <c r="E50" s="37">
        <f>Source!K30</f>
        <v>0.014</v>
      </c>
      <c r="F50" s="37"/>
      <c r="G50" s="37">
        <f>Source!I30</f>
        <v>0.014</v>
      </c>
      <c r="H50" s="34"/>
      <c r="I50" s="42"/>
      <c r="J50" s="34"/>
      <c r="K50" s="42"/>
      <c r="L50" s="34"/>
      <c r="AG50">
        <f>Source!X30</f>
        <v>13.51</v>
      </c>
      <c r="AH50">
        <f>Source!HK30</f>
        <v>390.98</v>
      </c>
      <c r="AI50">
        <f>Source!Y30</f>
        <v>6.76</v>
      </c>
      <c r="AJ50">
        <f>Source!HL30</f>
        <v>195.49</v>
      </c>
      <c r="AS50">
        <f>IF(Source!BI30&lt;=1,AH50,0)</f>
        <v>390.98</v>
      </c>
      <c r="AT50">
        <f>IF(Source!BI30&lt;=1,AJ50,0)</f>
        <v>195.49</v>
      </c>
      <c r="BC50">
        <f>IF(Source!BI30=2,AH50,0)</f>
        <v>0</v>
      </c>
      <c r="BD50">
        <f>IF(Source!BI30=2,AJ50,0)</f>
        <v>0</v>
      </c>
    </row>
    <row r="52" ht="12.75">
      <c r="C52" s="31" t="str">
        <f>"Объем: "&amp;Source!K30&amp;"=14/"&amp;"1000"</f>
        <v>Объем: 0,014=14/1000</v>
      </c>
    </row>
    <row r="53" spans="1:12" ht="14.25">
      <c r="A53" s="57"/>
      <c r="B53" s="58">
        <v>1</v>
      </c>
      <c r="C53" s="57" t="s">
        <v>771</v>
      </c>
      <c r="D53" s="41"/>
      <c r="E53" s="37"/>
      <c r="F53" s="37"/>
      <c r="G53" s="37"/>
      <c r="H53" s="34">
        <f>Source!AO30</f>
        <v>97.48</v>
      </c>
      <c r="I53" s="42">
        <f>ROUND(1.2*1.15,7)</f>
        <v>1.38</v>
      </c>
      <c r="J53" s="34">
        <f>ROUND(Source!AF30*Source!I30,2)</f>
        <v>1.88</v>
      </c>
      <c r="K53" s="42">
        <f>IF(Source!BA30&lt;&gt;0,Source!BA30,1)</f>
        <v>28.93</v>
      </c>
      <c r="L53" s="34">
        <f>Source!HJ30</f>
        <v>54.39</v>
      </c>
    </row>
    <row r="54" spans="1:12" ht="14.25">
      <c r="A54" s="57"/>
      <c r="B54" s="58">
        <v>3</v>
      </c>
      <c r="C54" s="57" t="s">
        <v>782</v>
      </c>
      <c r="D54" s="41"/>
      <c r="E54" s="37"/>
      <c r="F54" s="37"/>
      <c r="G54" s="37"/>
      <c r="H54" s="34">
        <f>Source!AM30</f>
        <v>4697.27</v>
      </c>
      <c r="I54" s="42">
        <f>ROUND(1.2*1.15,7)</f>
        <v>1.38</v>
      </c>
      <c r="J54" s="34">
        <f>ROUND(Source!AD30*Source!I30,2)</f>
        <v>90.75</v>
      </c>
      <c r="K54" s="42"/>
      <c r="L54" s="34"/>
    </row>
    <row r="55" spans="1:12" ht="14.25">
      <c r="A55" s="57"/>
      <c r="B55" s="58">
        <v>2</v>
      </c>
      <c r="C55" s="57" t="s">
        <v>783</v>
      </c>
      <c r="D55" s="41"/>
      <c r="E55" s="37"/>
      <c r="F55" s="37"/>
      <c r="G55" s="37"/>
      <c r="H55" s="34">
        <f>Source!AN30</f>
        <v>662.81</v>
      </c>
      <c r="I55" s="42">
        <f>ROUND(1.2*1.15,7)</f>
        <v>1.38</v>
      </c>
      <c r="J55" s="47">
        <f>ROUND(Source!AE30*Source!I30,2)</f>
        <v>12.81</v>
      </c>
      <c r="K55" s="42">
        <f>IF(Source!BS30&lt;&gt;0,Source!BS30,1)</f>
        <v>28.93</v>
      </c>
      <c r="L55" s="47">
        <f>Source!HI30</f>
        <v>370.59</v>
      </c>
    </row>
    <row r="56" spans="1:12" ht="14.25">
      <c r="A56" s="57"/>
      <c r="B56" s="57"/>
      <c r="C56" s="57" t="s">
        <v>772</v>
      </c>
      <c r="D56" s="41" t="s">
        <v>773</v>
      </c>
      <c r="E56" s="37">
        <f>Source!AQ30</f>
        <v>12.86</v>
      </c>
      <c r="F56" s="37">
        <f>ROUND(1.2*1.15,7)</f>
        <v>1.38</v>
      </c>
      <c r="G56" s="37">
        <f>ROUND(Source!U30,7)</f>
        <v>0.2484552</v>
      </c>
      <c r="H56" s="34"/>
      <c r="I56" s="42"/>
      <c r="J56" s="34"/>
      <c r="K56" s="42"/>
      <c r="L56" s="34"/>
    </row>
    <row r="57" spans="1:12" ht="14.25">
      <c r="A57" s="57"/>
      <c r="B57" s="57"/>
      <c r="C57" s="59" t="s">
        <v>784</v>
      </c>
      <c r="D57" s="43" t="s">
        <v>773</v>
      </c>
      <c r="E57" s="44">
        <f>Source!AR30</f>
        <v>58.76</v>
      </c>
      <c r="F57" s="44">
        <f>ROUND(1.2*1.15,7)</f>
        <v>1.38</v>
      </c>
      <c r="G57" s="44">
        <f>ROUND(Source!V30,7)</f>
        <v>1.1352432</v>
      </c>
      <c r="H57" s="45"/>
      <c r="I57" s="46"/>
      <c r="J57" s="45"/>
      <c r="K57" s="46"/>
      <c r="L57" s="45"/>
    </row>
    <row r="58" spans="1:12" ht="14.25">
      <c r="A58" s="57"/>
      <c r="B58" s="57"/>
      <c r="C58" s="57" t="s">
        <v>774</v>
      </c>
      <c r="D58" s="41"/>
      <c r="E58" s="37"/>
      <c r="F58" s="37"/>
      <c r="G58" s="37"/>
      <c r="H58" s="34">
        <f>H53+H54</f>
        <v>4794.75</v>
      </c>
      <c r="I58" s="42"/>
      <c r="J58" s="34">
        <f>J53+J54</f>
        <v>92.63</v>
      </c>
      <c r="K58" s="42"/>
      <c r="L58" s="34"/>
    </row>
    <row r="59" spans="1:12" ht="14.25">
      <c r="A59" s="57"/>
      <c r="B59" s="57"/>
      <c r="C59" s="57" t="s">
        <v>775</v>
      </c>
      <c r="D59" s="41"/>
      <c r="E59" s="37"/>
      <c r="F59" s="37"/>
      <c r="G59" s="37"/>
      <c r="H59" s="34"/>
      <c r="I59" s="42"/>
      <c r="J59" s="34">
        <f>SUM(Q50:Q62)+SUM(V50:V62)+SUM(X50:X62)+SUM(Y50:Y62)</f>
        <v>14.690000000000001</v>
      </c>
      <c r="K59" s="42"/>
      <c r="L59" s="34">
        <f>SUM(U50:U62)+SUM(W50:W62)+SUM(Z50:Z62)+SUM(AA50:AA62)</f>
        <v>424.97999999999996</v>
      </c>
    </row>
    <row r="60" spans="1:12" ht="28.5">
      <c r="A60" s="57"/>
      <c r="B60" s="57" t="s">
        <v>38</v>
      </c>
      <c r="C60" s="57" t="s">
        <v>785</v>
      </c>
      <c r="D60" s="41" t="s">
        <v>777</v>
      </c>
      <c r="E60" s="37">
        <f>Source!BZ30</f>
        <v>92</v>
      </c>
      <c r="F60" s="37"/>
      <c r="G60" s="37">
        <f>Source!AT30</f>
        <v>92</v>
      </c>
      <c r="H60" s="34"/>
      <c r="I60" s="42"/>
      <c r="J60" s="34">
        <f>SUM(AG50:AG62)</f>
        <v>13.51</v>
      </c>
      <c r="K60" s="42"/>
      <c r="L60" s="34">
        <f>SUM(AH50:AH62)</f>
        <v>390.98</v>
      </c>
    </row>
    <row r="61" spans="1:12" ht="28.5">
      <c r="A61" s="59"/>
      <c r="B61" s="59" t="s">
        <v>39</v>
      </c>
      <c r="C61" s="59" t="s">
        <v>786</v>
      </c>
      <c r="D61" s="43" t="s">
        <v>777</v>
      </c>
      <c r="E61" s="44">
        <f>Source!CA30</f>
        <v>46</v>
      </c>
      <c r="F61" s="44"/>
      <c r="G61" s="44">
        <f>Source!AU30</f>
        <v>46</v>
      </c>
      <c r="H61" s="45"/>
      <c r="I61" s="46"/>
      <c r="J61" s="45">
        <f>SUM(AI50:AI62)</f>
        <v>6.76</v>
      </c>
      <c r="K61" s="46"/>
      <c r="L61" s="45">
        <f>SUM(AJ50:AJ62)</f>
        <v>195.49</v>
      </c>
    </row>
    <row r="62" spans="3:53" ht="15">
      <c r="C62" s="102" t="s">
        <v>779</v>
      </c>
      <c r="D62" s="102"/>
      <c r="E62" s="102"/>
      <c r="F62" s="102"/>
      <c r="G62" s="102"/>
      <c r="H62" s="102"/>
      <c r="I62" s="102">
        <f>J53+J54+J60+J61</f>
        <v>112.9</v>
      </c>
      <c r="J62" s="102"/>
      <c r="O62" s="32">
        <f>I62</f>
        <v>112.9</v>
      </c>
      <c r="P62">
        <f>K62</f>
        <v>0</v>
      </c>
      <c r="Q62" s="32">
        <f>J53</f>
        <v>1.88</v>
      </c>
      <c r="R62" s="32">
        <f>J53</f>
        <v>1.88</v>
      </c>
      <c r="U62" s="32">
        <f>L53</f>
        <v>54.39</v>
      </c>
      <c r="X62" s="32">
        <f>J55</f>
        <v>12.81</v>
      </c>
      <c r="Z62" s="32">
        <f>L55</f>
        <v>370.59</v>
      </c>
      <c r="AB62" s="32">
        <f>J54</f>
        <v>90.75</v>
      </c>
      <c r="AD62" s="32">
        <f>L54</f>
        <v>0</v>
      </c>
      <c r="AF62">
        <f>0</f>
        <v>0</v>
      </c>
      <c r="AN62">
        <f>IF(Source!BI30&lt;=1,J53+J54+J60+J61,0)</f>
        <v>112.9</v>
      </c>
      <c r="AO62">
        <f>IF(Source!BI30&lt;=1,0,0)</f>
        <v>0</v>
      </c>
      <c r="AP62">
        <f>IF(Source!BI30&lt;=1,J54,0)</f>
        <v>90.75</v>
      </c>
      <c r="AQ62">
        <f>IF(Source!BI30&lt;=1,J53,0)</f>
        <v>1.88</v>
      </c>
      <c r="AX62">
        <f>IF(Source!BI30=2,J53+J54+J60+J61,0)</f>
        <v>0</v>
      </c>
      <c r="AY62">
        <f>IF(Source!BI30=2,0,0)</f>
        <v>0</v>
      </c>
      <c r="AZ62">
        <f>IF(Source!BI30=2,J54,0)</f>
        <v>0</v>
      </c>
      <c r="BA62">
        <f>IF(Source!BI30=2,J53,0)</f>
        <v>0</v>
      </c>
    </row>
    <row r="63" spans="1:56" ht="133.5">
      <c r="A63" s="57">
        <v>4</v>
      </c>
      <c r="B63" s="57" t="str">
        <f>Source!F31</f>
        <v>01-02-057-2</v>
      </c>
      <c r="C63" s="57" t="s">
        <v>787</v>
      </c>
      <c r="D63" s="41" t="str">
        <f>Source!H31</f>
        <v>100 м3 грунта</v>
      </c>
      <c r="E63" s="37">
        <f>Source!K31</f>
        <v>0.0598</v>
      </c>
      <c r="F63" s="37"/>
      <c r="G63" s="37">
        <f>Source!I31</f>
        <v>0.0598</v>
      </c>
      <c r="H63" s="34"/>
      <c r="I63" s="42"/>
      <c r="J63" s="34"/>
      <c r="K63" s="42"/>
      <c r="L63" s="34"/>
      <c r="AG63">
        <f>Source!X31</f>
        <v>85.73</v>
      </c>
      <c r="AH63">
        <f>Source!HK31</f>
        <v>2480.28</v>
      </c>
      <c r="AI63">
        <f>Source!Y31</f>
        <v>38.53</v>
      </c>
      <c r="AJ63">
        <f>Source!HL31</f>
        <v>1114.73</v>
      </c>
      <c r="AS63">
        <f>IF(Source!BI31&lt;=1,AH63,0)</f>
        <v>2480.28</v>
      </c>
      <c r="AT63">
        <f>IF(Source!BI31&lt;=1,AJ63,0)</f>
        <v>1114.73</v>
      </c>
      <c r="BC63">
        <f>IF(Source!BI31=2,AH63,0)</f>
        <v>0</v>
      </c>
      <c r="BD63">
        <f>IF(Source!BI31=2,AJ63,0)</f>
        <v>0</v>
      </c>
    </row>
    <row r="65" ht="12.75">
      <c r="C65" s="31" t="str">
        <f>"Объем: "&amp;Source!K31&amp;"=5,98/"&amp;"100"</f>
        <v>Объем: 0,0598=5,98/100</v>
      </c>
    </row>
    <row r="66" spans="1:12" ht="14.25">
      <c r="A66" s="57"/>
      <c r="B66" s="58">
        <v>1</v>
      </c>
      <c r="C66" s="57" t="s">
        <v>771</v>
      </c>
      <c r="D66" s="41"/>
      <c r="E66" s="37"/>
      <c r="F66" s="37"/>
      <c r="G66" s="37"/>
      <c r="H66" s="34">
        <f>Source!AO31</f>
        <v>1167.32</v>
      </c>
      <c r="I66" s="42">
        <f>ROUND(1.2*1.15,7)</f>
        <v>1.38</v>
      </c>
      <c r="J66" s="34">
        <f>ROUND(Source!AF31*Source!I31,2)</f>
        <v>96.33</v>
      </c>
      <c r="K66" s="42">
        <f>IF(Source!BA31&lt;&gt;0,Source!BA31,1)</f>
        <v>28.93</v>
      </c>
      <c r="L66" s="34">
        <f>Source!HJ31</f>
        <v>2786.83</v>
      </c>
    </row>
    <row r="67" spans="1:12" ht="14.25">
      <c r="A67" s="57"/>
      <c r="B67" s="57"/>
      <c r="C67" s="59" t="s">
        <v>772</v>
      </c>
      <c r="D67" s="43" t="s">
        <v>773</v>
      </c>
      <c r="E67" s="44">
        <f>Source!AQ31</f>
        <v>154</v>
      </c>
      <c r="F67" s="44">
        <f>ROUND(1.2*1.15,7)</f>
        <v>1.38</v>
      </c>
      <c r="G67" s="44">
        <f>ROUND(Source!U31,7)</f>
        <v>12.708696</v>
      </c>
      <c r="H67" s="45"/>
      <c r="I67" s="46"/>
      <c r="J67" s="45"/>
      <c r="K67" s="46"/>
      <c r="L67" s="45"/>
    </row>
    <row r="68" spans="1:12" ht="14.25">
      <c r="A68" s="57"/>
      <c r="B68" s="57"/>
      <c r="C68" s="57" t="s">
        <v>774</v>
      </c>
      <c r="D68" s="41"/>
      <c r="E68" s="37"/>
      <c r="F68" s="37"/>
      <c r="G68" s="37"/>
      <c r="H68" s="34">
        <f>H66</f>
        <v>1167.32</v>
      </c>
      <c r="I68" s="42"/>
      <c r="J68" s="34">
        <f>J66</f>
        <v>96.33</v>
      </c>
      <c r="K68" s="42"/>
      <c r="L68" s="34"/>
    </row>
    <row r="69" spans="1:12" ht="14.25">
      <c r="A69" s="57"/>
      <c r="B69" s="57"/>
      <c r="C69" s="57" t="s">
        <v>775</v>
      </c>
      <c r="D69" s="41"/>
      <c r="E69" s="37"/>
      <c r="F69" s="37"/>
      <c r="G69" s="37"/>
      <c r="H69" s="34"/>
      <c r="I69" s="42"/>
      <c r="J69" s="34">
        <f>SUM(Q63:Q72)+SUM(V63:V72)+SUM(X63:X72)+SUM(Y63:Y72)</f>
        <v>96.33</v>
      </c>
      <c r="K69" s="42"/>
      <c r="L69" s="34">
        <f>SUM(U63:U72)+SUM(W63:W72)+SUM(Z63:Z72)+SUM(AA63:AA72)</f>
        <v>2786.83</v>
      </c>
    </row>
    <row r="70" spans="1:12" ht="28.5">
      <c r="A70" s="57"/>
      <c r="B70" s="57" t="s">
        <v>26</v>
      </c>
      <c r="C70" s="57" t="s">
        <v>776</v>
      </c>
      <c r="D70" s="41" t="s">
        <v>777</v>
      </c>
      <c r="E70" s="37">
        <f>Source!BZ31</f>
        <v>89</v>
      </c>
      <c r="F70" s="37"/>
      <c r="G70" s="37">
        <f>Source!AT31</f>
        <v>89</v>
      </c>
      <c r="H70" s="34"/>
      <c r="I70" s="42"/>
      <c r="J70" s="34">
        <f>SUM(AG63:AG72)</f>
        <v>85.73</v>
      </c>
      <c r="K70" s="42"/>
      <c r="L70" s="34">
        <f>SUM(AH63:AH72)</f>
        <v>2480.28</v>
      </c>
    </row>
    <row r="71" spans="1:12" ht="28.5">
      <c r="A71" s="59"/>
      <c r="B71" s="59" t="s">
        <v>27</v>
      </c>
      <c r="C71" s="59" t="s">
        <v>778</v>
      </c>
      <c r="D71" s="43" t="s">
        <v>777</v>
      </c>
      <c r="E71" s="44">
        <f>Source!CA31</f>
        <v>40</v>
      </c>
      <c r="F71" s="44"/>
      <c r="G71" s="44">
        <f>Source!AU31</f>
        <v>40</v>
      </c>
      <c r="H71" s="45"/>
      <c r="I71" s="46"/>
      <c r="J71" s="45">
        <f>SUM(AI63:AI72)</f>
        <v>38.53</v>
      </c>
      <c r="K71" s="46"/>
      <c r="L71" s="45">
        <f>SUM(AJ63:AJ72)</f>
        <v>1114.73</v>
      </c>
    </row>
    <row r="72" spans="3:53" ht="15">
      <c r="C72" s="102" t="s">
        <v>779</v>
      </c>
      <c r="D72" s="102"/>
      <c r="E72" s="102"/>
      <c r="F72" s="102"/>
      <c r="G72" s="102"/>
      <c r="H72" s="102"/>
      <c r="I72" s="102">
        <f>J66+J70+J71</f>
        <v>220.59</v>
      </c>
      <c r="J72" s="102"/>
      <c r="O72" s="32">
        <f>I72</f>
        <v>220.59</v>
      </c>
      <c r="P72">
        <f>K72</f>
        <v>0</v>
      </c>
      <c r="Q72" s="32">
        <f>J66</f>
        <v>96.33</v>
      </c>
      <c r="R72" s="32">
        <f>J66</f>
        <v>96.33</v>
      </c>
      <c r="U72" s="32">
        <f>L66</f>
        <v>2786.83</v>
      </c>
      <c r="X72">
        <f>0</f>
        <v>0</v>
      </c>
      <c r="Z72">
        <f>0</f>
        <v>0</v>
      </c>
      <c r="AB72">
        <f>0</f>
        <v>0</v>
      </c>
      <c r="AD72">
        <f>0</f>
        <v>0</v>
      </c>
      <c r="AF72">
        <f>0</f>
        <v>0</v>
      </c>
      <c r="AN72">
        <f>IF(Source!BI31&lt;=1,J66+J70+J71,0)</f>
        <v>220.59</v>
      </c>
      <c r="AO72">
        <f>IF(Source!BI31&lt;=1,0,0)</f>
        <v>0</v>
      </c>
      <c r="AP72">
        <f>IF(Source!BI31&lt;=1,0,0)</f>
        <v>0</v>
      </c>
      <c r="AQ72">
        <f>IF(Source!BI31&lt;=1,J66,0)</f>
        <v>96.33</v>
      </c>
      <c r="AX72">
        <f>IF(Source!BI31=2,J66+J70+J71,0)</f>
        <v>0</v>
      </c>
      <c r="AY72">
        <f>IF(Source!BI31=2,0,0)</f>
        <v>0</v>
      </c>
      <c r="AZ72">
        <f>IF(Source!BI31=2,0,0)</f>
        <v>0</v>
      </c>
      <c r="BA72">
        <f>IF(Source!BI31=2,J66,0)</f>
        <v>0</v>
      </c>
    </row>
    <row r="73" spans="1:56" ht="133.5">
      <c r="A73" s="57">
        <v>5</v>
      </c>
      <c r="B73" s="57" t="str">
        <f>Source!F32</f>
        <v>01-01-033-2</v>
      </c>
      <c r="C73" s="57" t="s">
        <v>788</v>
      </c>
      <c r="D73" s="41" t="str">
        <f>Source!H32</f>
        <v>1000 м3 грунта</v>
      </c>
      <c r="E73" s="37">
        <f>Source!K32</f>
        <v>0.012</v>
      </c>
      <c r="F73" s="37"/>
      <c r="G73" s="37">
        <f>Source!I32</f>
        <v>0.012</v>
      </c>
      <c r="H73" s="34"/>
      <c r="I73" s="42"/>
      <c r="J73" s="34"/>
      <c r="K73" s="42"/>
      <c r="L73" s="34"/>
      <c r="AG73">
        <f>Source!X32</f>
        <v>1.53</v>
      </c>
      <c r="AH73">
        <f>Source!HK32</f>
        <v>44.18</v>
      </c>
      <c r="AI73">
        <f>Source!Y32</f>
        <v>0.76</v>
      </c>
      <c r="AJ73">
        <f>Source!HL32</f>
        <v>22.09</v>
      </c>
      <c r="AS73">
        <f>IF(Source!BI32&lt;=1,AH73,0)</f>
        <v>44.18</v>
      </c>
      <c r="AT73">
        <f>IF(Source!BI32&lt;=1,AJ73,0)</f>
        <v>22.09</v>
      </c>
      <c r="BC73">
        <f>IF(Source!BI32=2,AH73,0)</f>
        <v>0</v>
      </c>
      <c r="BD73">
        <f>IF(Source!BI32=2,AJ73,0)</f>
        <v>0</v>
      </c>
    </row>
    <row r="75" ht="12.75">
      <c r="C75" s="31" t="str">
        <f>"Объем: "&amp;Source!K32&amp;"=12/"&amp;"1000"</f>
        <v>Объем: 0,012=12/1000</v>
      </c>
    </row>
    <row r="76" spans="1:12" ht="14.25">
      <c r="A76" s="57"/>
      <c r="B76" s="58">
        <v>3</v>
      </c>
      <c r="C76" s="57" t="s">
        <v>782</v>
      </c>
      <c r="D76" s="41"/>
      <c r="E76" s="37"/>
      <c r="F76" s="37"/>
      <c r="G76" s="37"/>
      <c r="H76" s="34">
        <f>Source!AM32</f>
        <v>567.41</v>
      </c>
      <c r="I76" s="42">
        <f>ROUND(1.2*1.15,7)</f>
        <v>1.38</v>
      </c>
      <c r="J76" s="34">
        <f>ROUND(Source!AD32*Source!I32,2)</f>
        <v>9.4</v>
      </c>
      <c r="K76" s="42"/>
      <c r="L76" s="34"/>
    </row>
    <row r="77" spans="1:12" ht="14.25">
      <c r="A77" s="57"/>
      <c r="B77" s="58">
        <v>2</v>
      </c>
      <c r="C77" s="57" t="s">
        <v>783</v>
      </c>
      <c r="D77" s="41"/>
      <c r="E77" s="37"/>
      <c r="F77" s="37"/>
      <c r="G77" s="37"/>
      <c r="H77" s="34">
        <f>Source!AN32</f>
        <v>100.05</v>
      </c>
      <c r="I77" s="42">
        <f>ROUND(1.2*1.15,7)</f>
        <v>1.38</v>
      </c>
      <c r="J77" s="47">
        <f>ROUND(Source!AE32*Source!I32,2)</f>
        <v>1.66</v>
      </c>
      <c r="K77" s="42">
        <f>IF(Source!BS32&lt;&gt;0,Source!BS32,1)</f>
        <v>28.93</v>
      </c>
      <c r="L77" s="47">
        <f>Source!HI32</f>
        <v>48.02</v>
      </c>
    </row>
    <row r="78" spans="1:12" ht="14.25">
      <c r="A78" s="57"/>
      <c r="B78" s="57"/>
      <c r="C78" s="59" t="s">
        <v>784</v>
      </c>
      <c r="D78" s="43" t="s">
        <v>773</v>
      </c>
      <c r="E78" s="44">
        <f>Source!AR32</f>
        <v>8.87</v>
      </c>
      <c r="F78" s="44">
        <f>ROUND(1.2*1.15,7)</f>
        <v>1.38</v>
      </c>
      <c r="G78" s="44">
        <f>ROUND(Source!V32,7)</f>
        <v>0.1468872</v>
      </c>
      <c r="H78" s="45"/>
      <c r="I78" s="46"/>
      <c r="J78" s="45"/>
      <c r="K78" s="46"/>
      <c r="L78" s="45"/>
    </row>
    <row r="79" spans="1:12" ht="14.25">
      <c r="A79" s="57"/>
      <c r="B79" s="57"/>
      <c r="C79" s="57" t="s">
        <v>774</v>
      </c>
      <c r="D79" s="41"/>
      <c r="E79" s="37"/>
      <c r="F79" s="37"/>
      <c r="G79" s="37"/>
      <c r="H79" s="34">
        <f>H76</f>
        <v>567.41</v>
      </c>
      <c r="I79" s="42"/>
      <c r="J79" s="34">
        <f>J76</f>
        <v>9.4</v>
      </c>
      <c r="K79" s="42"/>
      <c r="L79" s="34"/>
    </row>
    <row r="80" spans="1:12" ht="14.25">
      <c r="A80" s="57"/>
      <c r="B80" s="57"/>
      <c r="C80" s="57" t="s">
        <v>775</v>
      </c>
      <c r="D80" s="41"/>
      <c r="E80" s="37"/>
      <c r="F80" s="37"/>
      <c r="G80" s="37"/>
      <c r="H80" s="34"/>
      <c r="I80" s="42"/>
      <c r="J80" s="34">
        <f>SUM(Q73:Q83)+SUM(V73:V83)+SUM(X73:X83)+SUM(Y73:Y83)</f>
        <v>1.66</v>
      </c>
      <c r="K80" s="42"/>
      <c r="L80" s="34">
        <f>SUM(U73:U83)+SUM(W73:W83)+SUM(Z73:Z83)+SUM(AA73:AA83)</f>
        <v>48.02</v>
      </c>
    </row>
    <row r="81" spans="1:12" ht="28.5">
      <c r="A81" s="57"/>
      <c r="B81" s="57" t="s">
        <v>38</v>
      </c>
      <c r="C81" s="57" t="s">
        <v>785</v>
      </c>
      <c r="D81" s="41" t="s">
        <v>777</v>
      </c>
      <c r="E81" s="37">
        <f>Source!BZ32</f>
        <v>92</v>
      </c>
      <c r="F81" s="37"/>
      <c r="G81" s="37">
        <f>Source!AT32</f>
        <v>92</v>
      </c>
      <c r="H81" s="34"/>
      <c r="I81" s="42"/>
      <c r="J81" s="34">
        <f>SUM(AG73:AG83)</f>
        <v>1.53</v>
      </c>
      <c r="K81" s="42"/>
      <c r="L81" s="34">
        <f>SUM(AH73:AH83)</f>
        <v>44.18</v>
      </c>
    </row>
    <row r="82" spans="1:12" ht="28.5">
      <c r="A82" s="59"/>
      <c r="B82" s="59" t="s">
        <v>39</v>
      </c>
      <c r="C82" s="59" t="s">
        <v>786</v>
      </c>
      <c r="D82" s="43" t="s">
        <v>777</v>
      </c>
      <c r="E82" s="44">
        <f>Source!CA32</f>
        <v>46</v>
      </c>
      <c r="F82" s="44"/>
      <c r="G82" s="44">
        <f>Source!AU32</f>
        <v>46</v>
      </c>
      <c r="H82" s="45"/>
      <c r="I82" s="46"/>
      <c r="J82" s="45">
        <f>SUM(AI73:AI83)</f>
        <v>0.76</v>
      </c>
      <c r="K82" s="46"/>
      <c r="L82" s="45">
        <f>SUM(AJ73:AJ83)</f>
        <v>22.09</v>
      </c>
    </row>
    <row r="83" spans="3:53" ht="15">
      <c r="C83" s="102" t="s">
        <v>779</v>
      </c>
      <c r="D83" s="102"/>
      <c r="E83" s="102"/>
      <c r="F83" s="102"/>
      <c r="G83" s="102"/>
      <c r="H83" s="102"/>
      <c r="I83" s="102">
        <f>J76+J81+J82</f>
        <v>11.69</v>
      </c>
      <c r="J83" s="102"/>
      <c r="O83" s="32">
        <f>I83</f>
        <v>11.69</v>
      </c>
      <c r="P83">
        <f>K83</f>
        <v>0</v>
      </c>
      <c r="Q83">
        <f>0</f>
        <v>0</v>
      </c>
      <c r="R83">
        <f>0</f>
        <v>0</v>
      </c>
      <c r="U83">
        <f>0</f>
        <v>0</v>
      </c>
      <c r="X83" s="32">
        <f>J77</f>
        <v>1.66</v>
      </c>
      <c r="Z83" s="32">
        <f>L77</f>
        <v>48.02</v>
      </c>
      <c r="AB83" s="32">
        <f>J76</f>
        <v>9.4</v>
      </c>
      <c r="AD83" s="32">
        <f>L76</f>
        <v>0</v>
      </c>
      <c r="AF83">
        <f>0</f>
        <v>0</v>
      </c>
      <c r="AN83">
        <f>IF(Source!BI32&lt;=1,J76+J81+J82,0)</f>
        <v>11.69</v>
      </c>
      <c r="AO83">
        <f>IF(Source!BI32&lt;=1,0,0)</f>
        <v>0</v>
      </c>
      <c r="AP83">
        <f>IF(Source!BI32&lt;=1,J76,0)</f>
        <v>9.4</v>
      </c>
      <c r="AQ83">
        <f>IF(Source!BI32&lt;=1,0,0)</f>
        <v>0</v>
      </c>
      <c r="AX83">
        <f>IF(Source!BI32=2,J76+J81+J82,0)</f>
        <v>0</v>
      </c>
      <c r="AY83">
        <f>IF(Source!BI32=2,0,0)</f>
        <v>0</v>
      </c>
      <c r="AZ83">
        <f>IF(Source!BI32=2,J76,0)</f>
        <v>0</v>
      </c>
      <c r="BA83">
        <f>IF(Source!BI32=2,0,0)</f>
        <v>0</v>
      </c>
    </row>
    <row r="84" spans="1:56" ht="105">
      <c r="A84" s="57">
        <v>6</v>
      </c>
      <c r="B84" s="57" t="str">
        <f>Source!F33</f>
        <v>01-02-061-1</v>
      </c>
      <c r="C84" s="57" t="s">
        <v>780</v>
      </c>
      <c r="D84" s="41" t="str">
        <f>Source!H33</f>
        <v>100 м3 грунта</v>
      </c>
      <c r="E84" s="37">
        <f>Source!K33</f>
        <v>0.0132</v>
      </c>
      <c r="F84" s="37"/>
      <c r="G84" s="37">
        <f>Source!I33</f>
        <v>0.0132</v>
      </c>
      <c r="H84" s="34"/>
      <c r="I84" s="42"/>
      <c r="J84" s="34"/>
      <c r="K84" s="42"/>
      <c r="L84" s="34"/>
      <c r="AG84">
        <f>Source!X33</f>
        <v>10.46</v>
      </c>
      <c r="AH84">
        <f>Source!HK33</f>
        <v>302.54</v>
      </c>
      <c r="AI84">
        <f>Source!Y33</f>
        <v>4.7</v>
      </c>
      <c r="AJ84">
        <f>Source!HL33</f>
        <v>135.97</v>
      </c>
      <c r="AS84">
        <f>IF(Source!BI33&lt;=1,AH84,0)</f>
        <v>302.54</v>
      </c>
      <c r="AT84">
        <f>IF(Source!BI33&lt;=1,AJ84,0)</f>
        <v>135.97</v>
      </c>
      <c r="BC84">
        <f>IF(Source!BI33=2,AH84,0)</f>
        <v>0</v>
      </c>
      <c r="BD84">
        <f>IF(Source!BI33=2,AJ84,0)</f>
        <v>0</v>
      </c>
    </row>
    <row r="86" ht="12.75">
      <c r="C86" s="31" t="str">
        <f>"Объем: "&amp;Source!K33&amp;"=1,32/"&amp;"100"</f>
        <v>Объем: 0,0132=1,32/100</v>
      </c>
    </row>
    <row r="87" spans="1:12" ht="14.25">
      <c r="A87" s="57"/>
      <c r="B87" s="58">
        <v>1</v>
      </c>
      <c r="C87" s="57" t="s">
        <v>771</v>
      </c>
      <c r="D87" s="41"/>
      <c r="E87" s="37"/>
      <c r="F87" s="37"/>
      <c r="G87" s="37"/>
      <c r="H87" s="34">
        <f>Source!AO33</f>
        <v>645.17</v>
      </c>
      <c r="I87" s="42">
        <f>ROUND(1.2*1.15,7)</f>
        <v>1.38</v>
      </c>
      <c r="J87" s="34">
        <f>ROUND(Source!AF33*Source!I33,2)</f>
        <v>11.75</v>
      </c>
      <c r="K87" s="42">
        <f>IF(Source!BA33&lt;&gt;0,Source!BA33,1)</f>
        <v>28.93</v>
      </c>
      <c r="L87" s="34">
        <f>Source!HJ33</f>
        <v>339.93</v>
      </c>
    </row>
    <row r="88" spans="1:12" ht="14.25">
      <c r="A88" s="57"/>
      <c r="B88" s="57"/>
      <c r="C88" s="59" t="s">
        <v>772</v>
      </c>
      <c r="D88" s="43" t="s">
        <v>773</v>
      </c>
      <c r="E88" s="44">
        <f>Source!AQ33</f>
        <v>88.5</v>
      </c>
      <c r="F88" s="44">
        <f>ROUND(1.2*1.15,7)</f>
        <v>1.38</v>
      </c>
      <c r="G88" s="44">
        <f>ROUND(Source!U33,7)</f>
        <v>1.612116</v>
      </c>
      <c r="H88" s="45"/>
      <c r="I88" s="46"/>
      <c r="J88" s="45"/>
      <c r="K88" s="46"/>
      <c r="L88" s="45"/>
    </row>
    <row r="89" spans="1:12" ht="14.25">
      <c r="A89" s="57"/>
      <c r="B89" s="57"/>
      <c r="C89" s="57" t="s">
        <v>774</v>
      </c>
      <c r="D89" s="41"/>
      <c r="E89" s="37"/>
      <c r="F89" s="37"/>
      <c r="G89" s="37"/>
      <c r="H89" s="34">
        <f>H87</f>
        <v>645.17</v>
      </c>
      <c r="I89" s="42"/>
      <c r="J89" s="34">
        <f>J87</f>
        <v>11.75</v>
      </c>
      <c r="K89" s="42"/>
      <c r="L89" s="34"/>
    </row>
    <row r="90" spans="1:12" ht="14.25">
      <c r="A90" s="57"/>
      <c r="B90" s="57"/>
      <c r="C90" s="57" t="s">
        <v>775</v>
      </c>
      <c r="D90" s="41"/>
      <c r="E90" s="37"/>
      <c r="F90" s="37"/>
      <c r="G90" s="37"/>
      <c r="H90" s="34"/>
      <c r="I90" s="42"/>
      <c r="J90" s="34">
        <f>SUM(Q84:Q93)+SUM(V84:V93)+SUM(X84:X93)+SUM(Y84:Y93)</f>
        <v>11.75</v>
      </c>
      <c r="K90" s="42"/>
      <c r="L90" s="34">
        <f>SUM(U84:U93)+SUM(W84:W93)+SUM(Z84:Z93)+SUM(AA84:AA93)</f>
        <v>339.93</v>
      </c>
    </row>
    <row r="91" spans="1:12" ht="28.5">
      <c r="A91" s="57"/>
      <c r="B91" s="57" t="s">
        <v>26</v>
      </c>
      <c r="C91" s="57" t="s">
        <v>776</v>
      </c>
      <c r="D91" s="41" t="s">
        <v>777</v>
      </c>
      <c r="E91" s="37">
        <f>Source!BZ33</f>
        <v>89</v>
      </c>
      <c r="F91" s="37"/>
      <c r="G91" s="37">
        <f>Source!AT33</f>
        <v>89</v>
      </c>
      <c r="H91" s="34"/>
      <c r="I91" s="42"/>
      <c r="J91" s="34">
        <f>SUM(AG84:AG93)</f>
        <v>10.46</v>
      </c>
      <c r="K91" s="42"/>
      <c r="L91" s="34">
        <f>SUM(AH84:AH93)</f>
        <v>302.54</v>
      </c>
    </row>
    <row r="92" spans="1:12" ht="28.5">
      <c r="A92" s="59"/>
      <c r="B92" s="59" t="s">
        <v>27</v>
      </c>
      <c r="C92" s="59" t="s">
        <v>778</v>
      </c>
      <c r="D92" s="43" t="s">
        <v>777</v>
      </c>
      <c r="E92" s="44">
        <f>Source!CA33</f>
        <v>40</v>
      </c>
      <c r="F92" s="44"/>
      <c r="G92" s="44">
        <f>Source!AU33</f>
        <v>40</v>
      </c>
      <c r="H92" s="45"/>
      <c r="I92" s="46"/>
      <c r="J92" s="45">
        <f>SUM(AI84:AI93)</f>
        <v>4.7</v>
      </c>
      <c r="K92" s="46"/>
      <c r="L92" s="45">
        <f>SUM(AJ84:AJ93)</f>
        <v>135.97</v>
      </c>
    </row>
    <row r="93" spans="3:53" ht="15">
      <c r="C93" s="102" t="s">
        <v>779</v>
      </c>
      <c r="D93" s="102"/>
      <c r="E93" s="102"/>
      <c r="F93" s="102"/>
      <c r="G93" s="102"/>
      <c r="H93" s="102"/>
      <c r="I93" s="102">
        <f>J87+J91+J92</f>
        <v>26.91</v>
      </c>
      <c r="J93" s="102"/>
      <c r="O93" s="32">
        <f>I93</f>
        <v>26.91</v>
      </c>
      <c r="P93">
        <f>K93</f>
        <v>0</v>
      </c>
      <c r="Q93" s="32">
        <f>J87</f>
        <v>11.75</v>
      </c>
      <c r="R93" s="32">
        <f>J87</f>
        <v>11.75</v>
      </c>
      <c r="U93" s="32">
        <f>L87</f>
        <v>339.93</v>
      </c>
      <c r="X93">
        <f>0</f>
        <v>0</v>
      </c>
      <c r="Z93">
        <f>0</f>
        <v>0</v>
      </c>
      <c r="AB93">
        <f>0</f>
        <v>0</v>
      </c>
      <c r="AD93">
        <f>0</f>
        <v>0</v>
      </c>
      <c r="AF93">
        <f>0</f>
        <v>0</v>
      </c>
      <c r="AN93">
        <f>IF(Source!BI33&lt;=1,J87+J91+J92,0)</f>
        <v>26.91</v>
      </c>
      <c r="AO93">
        <f>IF(Source!BI33&lt;=1,0,0)</f>
        <v>0</v>
      </c>
      <c r="AP93">
        <f>IF(Source!BI33&lt;=1,0,0)</f>
        <v>0</v>
      </c>
      <c r="AQ93">
        <f>IF(Source!BI33&lt;=1,J87,0)</f>
        <v>11.75</v>
      </c>
      <c r="AX93">
        <f>IF(Source!BI33=2,J87+J91+J92,0)</f>
        <v>0</v>
      </c>
      <c r="AY93">
        <f>IF(Source!BI33=2,0,0)</f>
        <v>0</v>
      </c>
      <c r="AZ93">
        <f>IF(Source!BI33=2,0,0)</f>
        <v>0</v>
      </c>
      <c r="BA93">
        <f>IF(Source!BI33=2,J87,0)</f>
        <v>0</v>
      </c>
    </row>
    <row r="94" spans="1:56" ht="105">
      <c r="A94" s="57">
        <v>7</v>
      </c>
      <c r="B94" s="57" t="str">
        <f>Source!F34</f>
        <v>01-02-005-1</v>
      </c>
      <c r="C94" s="57" t="s">
        <v>789</v>
      </c>
      <c r="D94" s="41" t="str">
        <f>Source!H34</f>
        <v>100 м3 уплотненного грунта</v>
      </c>
      <c r="E94" s="37">
        <f>Source!K34</f>
        <v>0.12</v>
      </c>
      <c r="F94" s="37"/>
      <c r="G94" s="37">
        <f>Source!I34</f>
        <v>0.12</v>
      </c>
      <c r="H94" s="34"/>
      <c r="I94" s="42"/>
      <c r="J94" s="34"/>
      <c r="K94" s="42"/>
      <c r="L94" s="34"/>
      <c r="AG94">
        <f>Source!X34</f>
        <v>19.69</v>
      </c>
      <c r="AH94">
        <f>Source!HK34</f>
        <v>569.55</v>
      </c>
      <c r="AI94">
        <f>Source!Y34</f>
        <v>9.07</v>
      </c>
      <c r="AJ94">
        <f>Source!HL34</f>
        <v>262.38</v>
      </c>
      <c r="AS94">
        <f>IF(Source!BI34&lt;=1,AH94,0)</f>
        <v>569.55</v>
      </c>
      <c r="AT94">
        <f>IF(Source!BI34&lt;=1,AJ94,0)</f>
        <v>262.38</v>
      </c>
      <c r="BC94">
        <f>IF(Source!BI34=2,AH94,0)</f>
        <v>0</v>
      </c>
      <c r="BD94">
        <f>IF(Source!BI34=2,AJ94,0)</f>
        <v>0</v>
      </c>
    </row>
    <row r="96" ht="12.75">
      <c r="C96" s="31" t="str">
        <f>"Объем: "&amp;Source!K34&amp;"=12/"&amp;"100"</f>
        <v>Объем: 0,12=12/100</v>
      </c>
    </row>
    <row r="97" spans="1:12" ht="14.25">
      <c r="A97" s="57"/>
      <c r="B97" s="58">
        <v>1</v>
      </c>
      <c r="C97" s="57" t="s">
        <v>771</v>
      </c>
      <c r="D97" s="41"/>
      <c r="E97" s="37"/>
      <c r="F97" s="37"/>
      <c r="G97" s="37"/>
      <c r="H97" s="34">
        <f>Source!AO34</f>
        <v>103.87</v>
      </c>
      <c r="I97" s="42">
        <f>ROUND(1.2*1.15,7)</f>
        <v>1.38</v>
      </c>
      <c r="J97" s="34">
        <f>ROUND(Source!AF34*Source!I34,2)</f>
        <v>17.2</v>
      </c>
      <c r="K97" s="42">
        <f>IF(Source!BA34&lt;&gt;0,Source!BA34,1)</f>
        <v>28.93</v>
      </c>
      <c r="L97" s="34">
        <f>Source!HJ34</f>
        <v>497.6</v>
      </c>
    </row>
    <row r="98" spans="1:12" ht="14.25">
      <c r="A98" s="57"/>
      <c r="B98" s="58">
        <v>3</v>
      </c>
      <c r="C98" s="57" t="s">
        <v>782</v>
      </c>
      <c r="D98" s="41"/>
      <c r="E98" s="37"/>
      <c r="F98" s="37"/>
      <c r="G98" s="37"/>
      <c r="H98" s="34">
        <f>Source!AM34</f>
        <v>324.87</v>
      </c>
      <c r="I98" s="42">
        <f>ROUND(1.2*1.15,7)</f>
        <v>1.38</v>
      </c>
      <c r="J98" s="34">
        <f>ROUND(Source!AD34*Source!I34,2)</f>
        <v>53.8</v>
      </c>
      <c r="K98" s="42"/>
      <c r="L98" s="34"/>
    </row>
    <row r="99" spans="1:12" ht="14.25">
      <c r="A99" s="57"/>
      <c r="B99" s="58">
        <v>2</v>
      </c>
      <c r="C99" s="57" t="s">
        <v>783</v>
      </c>
      <c r="D99" s="41"/>
      <c r="E99" s="37"/>
      <c r="F99" s="37"/>
      <c r="G99" s="37"/>
      <c r="H99" s="34">
        <f>Source!AN34</f>
        <v>29.73</v>
      </c>
      <c r="I99" s="42">
        <f>ROUND(1.2*1.15,7)</f>
        <v>1.38</v>
      </c>
      <c r="J99" s="47">
        <f>ROUND(Source!AE34*Source!I34,2)</f>
        <v>4.92</v>
      </c>
      <c r="K99" s="42">
        <f>IF(Source!BS34&lt;&gt;0,Source!BS34,1)</f>
        <v>28.93</v>
      </c>
      <c r="L99" s="47">
        <f>Source!HI34</f>
        <v>142.34</v>
      </c>
    </row>
    <row r="100" spans="1:12" ht="14.25">
      <c r="A100" s="57"/>
      <c r="B100" s="57"/>
      <c r="C100" s="57" t="s">
        <v>772</v>
      </c>
      <c r="D100" s="41" t="s">
        <v>773</v>
      </c>
      <c r="E100" s="37">
        <f>Source!AQ34</f>
        <v>12.53</v>
      </c>
      <c r="F100" s="37">
        <f>ROUND(1.2*1.15,7)</f>
        <v>1.38</v>
      </c>
      <c r="G100" s="37">
        <f>ROUND(Source!U34,7)</f>
        <v>2.074968</v>
      </c>
      <c r="H100" s="34"/>
      <c r="I100" s="42"/>
      <c r="J100" s="34"/>
      <c r="K100" s="42"/>
      <c r="L100" s="34"/>
    </row>
    <row r="101" spans="1:12" ht="14.25">
      <c r="A101" s="57"/>
      <c r="B101" s="57"/>
      <c r="C101" s="59" t="s">
        <v>784</v>
      </c>
      <c r="D101" s="43" t="s">
        <v>773</v>
      </c>
      <c r="E101" s="44">
        <f>Source!AR34</f>
        <v>3.04</v>
      </c>
      <c r="F101" s="44">
        <f>ROUND(1.2*1.15,7)</f>
        <v>1.38</v>
      </c>
      <c r="G101" s="44">
        <f>ROUND(Source!V34,7)</f>
        <v>0.503424</v>
      </c>
      <c r="H101" s="45"/>
      <c r="I101" s="46"/>
      <c r="J101" s="45"/>
      <c r="K101" s="46"/>
      <c r="L101" s="45"/>
    </row>
    <row r="102" spans="1:12" ht="14.25">
      <c r="A102" s="57"/>
      <c r="B102" s="57"/>
      <c r="C102" s="57" t="s">
        <v>774</v>
      </c>
      <c r="D102" s="41"/>
      <c r="E102" s="37"/>
      <c r="F102" s="37"/>
      <c r="G102" s="37"/>
      <c r="H102" s="34">
        <f>H97+H98</f>
        <v>428.74</v>
      </c>
      <c r="I102" s="42"/>
      <c r="J102" s="34">
        <f>J97+J98</f>
        <v>71</v>
      </c>
      <c r="K102" s="42"/>
      <c r="L102" s="34"/>
    </row>
    <row r="103" spans="1:12" ht="14.25">
      <c r="A103" s="57"/>
      <c r="B103" s="57"/>
      <c r="C103" s="57" t="s">
        <v>775</v>
      </c>
      <c r="D103" s="41"/>
      <c r="E103" s="37"/>
      <c r="F103" s="37"/>
      <c r="G103" s="37"/>
      <c r="H103" s="34"/>
      <c r="I103" s="42"/>
      <c r="J103" s="34">
        <f>SUM(Q94:Q106)+SUM(V94:V106)+SUM(X94:X106)+SUM(Y94:Y106)</f>
        <v>22.119999999999997</v>
      </c>
      <c r="K103" s="42"/>
      <c r="L103" s="34">
        <f>SUM(U94:U106)+SUM(W94:W106)+SUM(Z94:Z106)+SUM(AA94:AA106)</f>
        <v>639.94</v>
      </c>
    </row>
    <row r="104" spans="1:12" ht="57">
      <c r="A104" s="57"/>
      <c r="B104" s="57" t="s">
        <v>55</v>
      </c>
      <c r="C104" s="57" t="s">
        <v>790</v>
      </c>
      <c r="D104" s="41" t="s">
        <v>777</v>
      </c>
      <c r="E104" s="37">
        <f>Source!BZ34</f>
        <v>89</v>
      </c>
      <c r="F104" s="37"/>
      <c r="G104" s="37">
        <f>Source!AT34</f>
        <v>89</v>
      </c>
      <c r="H104" s="34"/>
      <c r="I104" s="42"/>
      <c r="J104" s="34">
        <f>SUM(AG94:AG106)</f>
        <v>19.69</v>
      </c>
      <c r="K104" s="42"/>
      <c r="L104" s="34">
        <f>SUM(AH94:AH106)</f>
        <v>569.55</v>
      </c>
    </row>
    <row r="105" spans="1:12" ht="57">
      <c r="A105" s="59"/>
      <c r="B105" s="59" t="s">
        <v>56</v>
      </c>
      <c r="C105" s="59" t="s">
        <v>791</v>
      </c>
      <c r="D105" s="43" t="s">
        <v>777</v>
      </c>
      <c r="E105" s="44">
        <f>Source!CA34</f>
        <v>41</v>
      </c>
      <c r="F105" s="44"/>
      <c r="G105" s="44">
        <f>Source!AU34</f>
        <v>41</v>
      </c>
      <c r="H105" s="45"/>
      <c r="I105" s="46"/>
      <c r="J105" s="45">
        <f>SUM(AI94:AI106)</f>
        <v>9.07</v>
      </c>
      <c r="K105" s="46"/>
      <c r="L105" s="45">
        <f>SUM(AJ94:AJ106)</f>
        <v>262.38</v>
      </c>
    </row>
    <row r="106" spans="3:53" ht="15">
      <c r="C106" s="102" t="s">
        <v>779</v>
      </c>
      <c r="D106" s="102"/>
      <c r="E106" s="102"/>
      <c r="F106" s="102"/>
      <c r="G106" s="102"/>
      <c r="H106" s="102"/>
      <c r="I106" s="102">
        <f>J97+J98+J104+J105</f>
        <v>99.75999999999999</v>
      </c>
      <c r="J106" s="102"/>
      <c r="O106" s="32">
        <f>I106</f>
        <v>99.75999999999999</v>
      </c>
      <c r="P106">
        <f>K106</f>
        <v>0</v>
      </c>
      <c r="Q106" s="32">
        <f>J97</f>
        <v>17.2</v>
      </c>
      <c r="R106" s="32">
        <f>J97</f>
        <v>17.2</v>
      </c>
      <c r="U106" s="32">
        <f>L97</f>
        <v>497.6</v>
      </c>
      <c r="X106" s="32">
        <f>J99</f>
        <v>4.92</v>
      </c>
      <c r="Z106" s="32">
        <f>L99</f>
        <v>142.34</v>
      </c>
      <c r="AB106" s="32">
        <f>J98</f>
        <v>53.8</v>
      </c>
      <c r="AD106" s="32">
        <f>L98</f>
        <v>0</v>
      </c>
      <c r="AF106">
        <f>0</f>
        <v>0</v>
      </c>
      <c r="AN106">
        <f>IF(Source!BI34&lt;=1,J97+J98+J104+J105,0)</f>
        <v>99.75999999999999</v>
      </c>
      <c r="AO106">
        <f>IF(Source!BI34&lt;=1,0,0)</f>
        <v>0</v>
      </c>
      <c r="AP106">
        <f>IF(Source!BI34&lt;=1,J98,0)</f>
        <v>53.8</v>
      </c>
      <c r="AQ106">
        <f>IF(Source!BI34&lt;=1,J97,0)</f>
        <v>17.2</v>
      </c>
      <c r="AX106">
        <f>IF(Source!BI34=2,J97+J98+J104+J105,0)</f>
        <v>0</v>
      </c>
      <c r="AY106">
        <f>IF(Source!BI34=2,0,0)</f>
        <v>0</v>
      </c>
      <c r="AZ106">
        <f>IF(Source!BI34=2,J98,0)</f>
        <v>0</v>
      </c>
      <c r="BA106">
        <f>IF(Source!BI34=2,J97,0)</f>
        <v>0</v>
      </c>
    </row>
    <row r="107" spans="1:56" ht="42.75">
      <c r="A107" s="57">
        <v>8</v>
      </c>
      <c r="B107" s="57" t="str">
        <f>Source!F35</f>
        <v>т01-01-01-039</v>
      </c>
      <c r="C107" s="57" t="str">
        <f>Source!G35</f>
        <v>Погрузка при автомобильных перевозках грунта растительного слоя (земля, перегной)</v>
      </c>
      <c r="D107" s="41" t="str">
        <f>Source!H35</f>
        <v>1 Т ГРУЗА</v>
      </c>
      <c r="E107" s="37">
        <f>Source!K35</f>
        <v>11.66</v>
      </c>
      <c r="F107" s="37"/>
      <c r="G107" s="37">
        <f>Source!I35</f>
        <v>11.66</v>
      </c>
      <c r="H107" s="34"/>
      <c r="I107" s="42"/>
      <c r="J107" s="34"/>
      <c r="K107" s="42"/>
      <c r="L107" s="34"/>
      <c r="AG107">
        <f>Source!X35</f>
        <v>0</v>
      </c>
      <c r="AH107">
        <f>Source!HK35</f>
        <v>0</v>
      </c>
      <c r="AI107">
        <f>Source!Y35</f>
        <v>0</v>
      </c>
      <c r="AJ107">
        <f>Source!HL35</f>
        <v>0</v>
      </c>
      <c r="AS107">
        <f>IF(Source!BI35&lt;=1,AH107,0)</f>
        <v>0</v>
      </c>
      <c r="AT107">
        <f>IF(Source!BI35&lt;=1,AJ107,0)</f>
        <v>0</v>
      </c>
      <c r="BC107">
        <f>IF(Source!BI35=2,AH107,0)</f>
        <v>0</v>
      </c>
      <c r="BD107">
        <f>IF(Source!BI35=2,AJ107,0)</f>
        <v>0</v>
      </c>
    </row>
    <row r="109" spans="1:12" ht="14.25">
      <c r="A109" s="57"/>
      <c r="B109" s="58">
        <v>3</v>
      </c>
      <c r="C109" s="57" t="s">
        <v>782</v>
      </c>
      <c r="D109" s="41"/>
      <c r="E109" s="37"/>
      <c r="F109" s="37"/>
      <c r="G109" s="37"/>
      <c r="H109" s="34">
        <f>Source!AM35</f>
        <v>4.72</v>
      </c>
      <c r="I109" s="42"/>
      <c r="J109" s="34">
        <f>ROUND(Source!AD35*Source!I35,2)</f>
        <v>55.04</v>
      </c>
      <c r="K109" s="42"/>
      <c r="L109" s="34"/>
    </row>
    <row r="110" spans="1:12" ht="14.25">
      <c r="A110" s="57"/>
      <c r="B110" s="57"/>
      <c r="C110" s="59" t="s">
        <v>784</v>
      </c>
      <c r="D110" s="43" t="s">
        <v>773</v>
      </c>
      <c r="E110" s="44">
        <f>Source!AR35</f>
        <v>0.029</v>
      </c>
      <c r="F110" s="44"/>
      <c r="G110" s="44">
        <f>ROUND(Source!V35,7)</f>
        <v>0.33814</v>
      </c>
      <c r="H110" s="45"/>
      <c r="I110" s="46"/>
      <c r="J110" s="45"/>
      <c r="K110" s="46"/>
      <c r="L110" s="45"/>
    </row>
    <row r="111" spans="1:12" ht="14.25">
      <c r="A111" s="59"/>
      <c r="B111" s="59"/>
      <c r="C111" s="59" t="s">
        <v>774</v>
      </c>
      <c r="D111" s="43"/>
      <c r="E111" s="44"/>
      <c r="F111" s="44"/>
      <c r="G111" s="44"/>
      <c r="H111" s="45">
        <f>H109</f>
        <v>4.72</v>
      </c>
      <c r="I111" s="46"/>
      <c r="J111" s="45">
        <f>J109</f>
        <v>55.04</v>
      </c>
      <c r="K111" s="46"/>
      <c r="L111" s="45"/>
    </row>
    <row r="112" spans="3:61" ht="15">
      <c r="C112" s="102" t="s">
        <v>779</v>
      </c>
      <c r="D112" s="102"/>
      <c r="E112" s="102"/>
      <c r="F112" s="102"/>
      <c r="G112" s="102"/>
      <c r="H112" s="102"/>
      <c r="I112" s="102">
        <f>J109</f>
        <v>55.04</v>
      </c>
      <c r="J112" s="102"/>
      <c r="O112" s="32">
        <f>I112</f>
        <v>55.04</v>
      </c>
      <c r="P112">
        <f>K112</f>
        <v>0</v>
      </c>
      <c r="R112">
        <f>0</f>
        <v>0</v>
      </c>
      <c r="V112">
        <f>0</f>
        <v>0</v>
      </c>
      <c r="W112">
        <f>0</f>
        <v>0</v>
      </c>
      <c r="Y112">
        <f>0</f>
        <v>0</v>
      </c>
      <c r="AA112">
        <f>0</f>
        <v>0</v>
      </c>
      <c r="AC112" s="32">
        <f>J109</f>
        <v>55.04</v>
      </c>
      <c r="AE112" s="32">
        <f>L109</f>
        <v>0</v>
      </c>
      <c r="AF112">
        <f>0</f>
        <v>0</v>
      </c>
      <c r="AO112">
        <f>IF(Source!BI35&lt;=1,0,0)</f>
        <v>0</v>
      </c>
      <c r="AR112">
        <f>IF(Source!BI35&lt;=1,J109,0)</f>
        <v>55.04</v>
      </c>
      <c r="AY112">
        <f>IF(Source!BI35=2,0,0)</f>
        <v>0</v>
      </c>
      <c r="BB112">
        <f>IF(Source!BI35=2,J109,0)</f>
        <v>0</v>
      </c>
      <c r="BI112">
        <f>IF(Source!BI35=3,J109,0)</f>
        <v>0</v>
      </c>
    </row>
    <row r="113" spans="1:56" ht="57">
      <c r="A113" s="57">
        <v>9</v>
      </c>
      <c r="B113" s="57" t="str">
        <f>Source!F36</f>
        <v>т03-21-01-015</v>
      </c>
      <c r="C113" s="57" t="str">
        <f>Source!G36</f>
        <v>Перевозка грузов I класса автомобилями-самосвалами грузоподъемностью 10 т работающих вне карьера на расстояние до 15 км</v>
      </c>
      <c r="D113" s="41" t="str">
        <f>Source!H36</f>
        <v>1 Т ГРУЗА</v>
      </c>
      <c r="E113" s="37">
        <f>Source!K36</f>
        <v>11.66</v>
      </c>
      <c r="F113" s="37"/>
      <c r="G113" s="37">
        <f>Source!I36</f>
        <v>11.66</v>
      </c>
      <c r="H113" s="34"/>
      <c r="I113" s="42"/>
      <c r="J113" s="34"/>
      <c r="K113" s="42"/>
      <c r="L113" s="34"/>
      <c r="AG113">
        <f>Source!X36</f>
        <v>0</v>
      </c>
      <c r="AH113">
        <f>Source!HK36</f>
        <v>0</v>
      </c>
      <c r="AI113">
        <f>Source!Y36</f>
        <v>0</v>
      </c>
      <c r="AJ113">
        <f>Source!HL36</f>
        <v>0</v>
      </c>
      <c r="AS113">
        <f>IF(Source!BI36&lt;=1,AH113,0)</f>
        <v>0</v>
      </c>
      <c r="AT113">
        <f>IF(Source!BI36&lt;=1,AJ113,0)</f>
        <v>0</v>
      </c>
      <c r="BC113">
        <f>IF(Source!BI36=2,AH113,0)</f>
        <v>0</v>
      </c>
      <c r="BD113">
        <f>IF(Source!BI36=2,AJ113,0)</f>
        <v>0</v>
      </c>
    </row>
    <row r="115" spans="1:12" ht="14.25">
      <c r="A115" s="57"/>
      <c r="B115" s="58">
        <v>3</v>
      </c>
      <c r="C115" s="59" t="s">
        <v>782</v>
      </c>
      <c r="D115" s="43"/>
      <c r="E115" s="44"/>
      <c r="F115" s="44"/>
      <c r="G115" s="44"/>
      <c r="H115" s="45">
        <f>Source!AM36</f>
        <v>12.57</v>
      </c>
      <c r="I115" s="46"/>
      <c r="J115" s="45">
        <f>ROUND(Source!AD36*Source!I36,2)</f>
        <v>146.57</v>
      </c>
      <c r="K115" s="46"/>
      <c r="L115" s="45"/>
    </row>
    <row r="116" spans="1:12" ht="14.25">
      <c r="A116" s="59"/>
      <c r="B116" s="59"/>
      <c r="C116" s="59" t="s">
        <v>774</v>
      </c>
      <c r="D116" s="43"/>
      <c r="E116" s="44"/>
      <c r="F116" s="44"/>
      <c r="G116" s="44"/>
      <c r="H116" s="45">
        <f>H115</f>
        <v>12.57</v>
      </c>
      <c r="I116" s="46"/>
      <c r="J116" s="45">
        <f>J115</f>
        <v>146.57</v>
      </c>
      <c r="K116" s="46"/>
      <c r="L116" s="45"/>
    </row>
    <row r="117" spans="3:61" ht="15">
      <c r="C117" s="102" t="s">
        <v>779</v>
      </c>
      <c r="D117" s="102"/>
      <c r="E117" s="102"/>
      <c r="F117" s="102"/>
      <c r="G117" s="102"/>
      <c r="H117" s="102"/>
      <c r="I117" s="102">
        <f>J115</f>
        <v>146.57</v>
      </c>
      <c r="J117" s="102"/>
      <c r="O117" s="32">
        <f>I117</f>
        <v>146.57</v>
      </c>
      <c r="P117">
        <f>K117</f>
        <v>0</v>
      </c>
      <c r="R117">
        <f>0</f>
        <v>0</v>
      </c>
      <c r="V117">
        <f>0</f>
        <v>0</v>
      </c>
      <c r="W117">
        <f>0</f>
        <v>0</v>
      </c>
      <c r="Y117">
        <f>0</f>
        <v>0</v>
      </c>
      <c r="AA117">
        <f>0</f>
        <v>0</v>
      </c>
      <c r="AC117" s="32">
        <f>J115</f>
        <v>146.57</v>
      </c>
      <c r="AE117" s="32">
        <f>L115</f>
        <v>0</v>
      </c>
      <c r="AF117">
        <f>0</f>
        <v>0</v>
      </c>
      <c r="AO117">
        <f>IF(Source!BI36&lt;=1,0,0)</f>
        <v>0</v>
      </c>
      <c r="AR117">
        <f>IF(Source!BI36&lt;=1,J115,0)</f>
        <v>146.57</v>
      </c>
      <c r="AY117">
        <f>IF(Source!BI36=2,0,0)</f>
        <v>0</v>
      </c>
      <c r="BB117">
        <f>IF(Source!BI36=2,J115,0)</f>
        <v>0</v>
      </c>
      <c r="BI117">
        <f>IF(Source!BI36=3,J115,0)</f>
        <v>0</v>
      </c>
    </row>
    <row r="118" spans="1:56" ht="119.25">
      <c r="A118" s="57">
        <v>10</v>
      </c>
      <c r="B118" s="57" t="str">
        <f>Source!F37</f>
        <v>22-01-021-3</v>
      </c>
      <c r="C118" s="57" t="s">
        <v>792</v>
      </c>
      <c r="D118" s="41" t="str">
        <f>Source!H37</f>
        <v>1 км трубопровода</v>
      </c>
      <c r="E118" s="37">
        <f>Source!K37</f>
        <v>0.026</v>
      </c>
      <c r="F118" s="37"/>
      <c r="G118" s="37">
        <f>Source!I37</f>
        <v>0.026</v>
      </c>
      <c r="H118" s="34"/>
      <c r="I118" s="42"/>
      <c r="J118" s="34"/>
      <c r="K118" s="42"/>
      <c r="L118" s="34"/>
      <c r="AG118">
        <f>Source!X37</f>
        <v>101.88</v>
      </c>
      <c r="AH118">
        <f>Source!HK37</f>
        <v>2947.5</v>
      </c>
      <c r="AI118">
        <f>Source!Y37</f>
        <v>64.44</v>
      </c>
      <c r="AJ118">
        <f>Source!HL37</f>
        <v>1864.23</v>
      </c>
      <c r="AS118">
        <f>IF(Source!BI37&lt;=1,AH118,0)</f>
        <v>2947.5</v>
      </c>
      <c r="AT118">
        <f>IF(Source!BI37&lt;=1,AJ118,0)</f>
        <v>1864.23</v>
      </c>
      <c r="BC118">
        <f>IF(Source!BI37=2,AH118,0)</f>
        <v>0</v>
      </c>
      <c r="BD118">
        <f>IF(Source!BI37=2,AJ118,0)</f>
        <v>0</v>
      </c>
    </row>
    <row r="120" spans="1:12" ht="14.25">
      <c r="A120" s="57"/>
      <c r="B120" s="58">
        <v>1</v>
      </c>
      <c r="C120" s="57" t="s">
        <v>771</v>
      </c>
      <c r="D120" s="41"/>
      <c r="E120" s="37"/>
      <c r="F120" s="37"/>
      <c r="G120" s="37"/>
      <c r="H120" s="34">
        <f>Source!AO37</f>
        <v>2032.11</v>
      </c>
      <c r="I120" s="42">
        <f>ROUND(1.2*1.15,7)</f>
        <v>1.38</v>
      </c>
      <c r="J120" s="34">
        <f>ROUND(Source!AF37*Source!I37,2)</f>
        <v>72.91</v>
      </c>
      <c r="K120" s="42">
        <f>IF(Source!BA37&lt;&gt;0,Source!BA37,1)</f>
        <v>28.93</v>
      </c>
      <c r="L120" s="34">
        <f>Source!HJ37</f>
        <v>2109.29</v>
      </c>
    </row>
    <row r="121" spans="1:12" ht="14.25">
      <c r="A121" s="57"/>
      <c r="B121" s="58">
        <v>3</v>
      </c>
      <c r="C121" s="57" t="s">
        <v>782</v>
      </c>
      <c r="D121" s="41"/>
      <c r="E121" s="37"/>
      <c r="F121" s="37"/>
      <c r="G121" s="37"/>
      <c r="H121" s="34">
        <f>Source!AM37</f>
        <v>3681.64</v>
      </c>
      <c r="I121" s="42">
        <f>ROUND(1.2*1.15,7)</f>
        <v>1.38</v>
      </c>
      <c r="J121" s="34">
        <f>ROUND(Source!AD37*Source!I37,2)</f>
        <v>132.1</v>
      </c>
      <c r="K121" s="42"/>
      <c r="L121" s="34"/>
    </row>
    <row r="122" spans="1:12" ht="14.25">
      <c r="A122" s="57"/>
      <c r="B122" s="58">
        <v>2</v>
      </c>
      <c r="C122" s="57" t="s">
        <v>783</v>
      </c>
      <c r="D122" s="41"/>
      <c r="E122" s="37"/>
      <c r="F122" s="37"/>
      <c r="G122" s="37"/>
      <c r="H122" s="34">
        <f>Source!AN37</f>
        <v>394.85</v>
      </c>
      <c r="I122" s="42">
        <f>ROUND(1.2*1.15,7)</f>
        <v>1.38</v>
      </c>
      <c r="J122" s="47">
        <f>ROUND(Source!AE37*Source!I37,2)</f>
        <v>14.17</v>
      </c>
      <c r="K122" s="42">
        <f>IF(Source!BS37&lt;&gt;0,Source!BS37,1)</f>
        <v>28.93</v>
      </c>
      <c r="L122" s="47">
        <f>Source!HI37</f>
        <v>409.94</v>
      </c>
    </row>
    <row r="123" spans="1:12" ht="14.25">
      <c r="A123" s="57"/>
      <c r="B123" s="58">
        <v>4</v>
      </c>
      <c r="C123" s="57" t="s">
        <v>793</v>
      </c>
      <c r="D123" s="41"/>
      <c r="E123" s="37"/>
      <c r="F123" s="37"/>
      <c r="G123" s="37"/>
      <c r="H123" s="34">
        <f>Source!AL37</f>
        <v>76090.88</v>
      </c>
      <c r="I123" s="42"/>
      <c r="J123" s="34">
        <f>ROUND(Source!AC37*Source!I37,2)</f>
        <v>1978.36</v>
      </c>
      <c r="K123" s="42"/>
      <c r="L123" s="34"/>
    </row>
    <row r="124" spans="1:12" ht="14.25">
      <c r="A124" s="57"/>
      <c r="B124" s="57"/>
      <c r="C124" s="57" t="s">
        <v>772</v>
      </c>
      <c r="D124" s="41" t="s">
        <v>773</v>
      </c>
      <c r="E124" s="37">
        <f>Source!AQ37</f>
        <v>225.04</v>
      </c>
      <c r="F124" s="37">
        <f>ROUND(1.2*1.15,7)</f>
        <v>1.38</v>
      </c>
      <c r="G124" s="37">
        <f>ROUND(Source!U37,7)</f>
        <v>8.0744352</v>
      </c>
      <c r="H124" s="34"/>
      <c r="I124" s="42"/>
      <c r="J124" s="34"/>
      <c r="K124" s="42"/>
      <c r="L124" s="34"/>
    </row>
    <row r="125" spans="1:12" ht="14.25">
      <c r="A125" s="57"/>
      <c r="B125" s="57"/>
      <c r="C125" s="59" t="s">
        <v>784</v>
      </c>
      <c r="D125" s="43" t="s">
        <v>773</v>
      </c>
      <c r="E125" s="44">
        <f>Source!AR37</f>
        <v>30.8</v>
      </c>
      <c r="F125" s="44">
        <f>ROUND(1.2*1.15,7)</f>
        <v>1.38</v>
      </c>
      <c r="G125" s="44">
        <f>ROUND(Source!V37,7)</f>
        <v>1.105104</v>
      </c>
      <c r="H125" s="45"/>
      <c r="I125" s="46"/>
      <c r="J125" s="45"/>
      <c r="K125" s="46"/>
      <c r="L125" s="45"/>
    </row>
    <row r="126" spans="1:12" ht="14.25">
      <c r="A126" s="57"/>
      <c r="B126" s="57"/>
      <c r="C126" s="57" t="s">
        <v>774</v>
      </c>
      <c r="D126" s="41"/>
      <c r="E126" s="37"/>
      <c r="F126" s="37"/>
      <c r="G126" s="37"/>
      <c r="H126" s="34">
        <f>H120+H121+H123</f>
        <v>81804.63</v>
      </c>
      <c r="I126" s="42"/>
      <c r="J126" s="34">
        <f>J120+J121+J123</f>
        <v>2183.37</v>
      </c>
      <c r="K126" s="42"/>
      <c r="L126" s="34"/>
    </row>
    <row r="127" spans="1:12" ht="14.25">
      <c r="A127" s="57"/>
      <c r="B127" s="57"/>
      <c r="C127" s="57" t="s">
        <v>775</v>
      </c>
      <c r="D127" s="41"/>
      <c r="E127" s="37"/>
      <c r="F127" s="37"/>
      <c r="G127" s="37"/>
      <c r="H127" s="34"/>
      <c r="I127" s="42"/>
      <c r="J127" s="34">
        <f>SUM(Q118:Q130)+SUM(V118:V130)+SUM(X118:X130)+SUM(Y118:Y130)</f>
        <v>87.08</v>
      </c>
      <c r="K127" s="42"/>
      <c r="L127" s="34">
        <f>SUM(U118:U130)+SUM(W118:W130)+SUM(Z118:Z130)+SUM(AA118:AA130)</f>
        <v>2519.23</v>
      </c>
    </row>
    <row r="128" spans="1:12" ht="42.75">
      <c r="A128" s="57"/>
      <c r="B128" s="57" t="s">
        <v>79</v>
      </c>
      <c r="C128" s="57" t="s">
        <v>794</v>
      </c>
      <c r="D128" s="41" t="s">
        <v>777</v>
      </c>
      <c r="E128" s="37">
        <f>Source!BZ37</f>
        <v>117</v>
      </c>
      <c r="F128" s="37"/>
      <c r="G128" s="37">
        <f>Source!AT37</f>
        <v>117</v>
      </c>
      <c r="H128" s="34"/>
      <c r="I128" s="42"/>
      <c r="J128" s="34">
        <f>SUM(AG118:AG130)</f>
        <v>101.88</v>
      </c>
      <c r="K128" s="42"/>
      <c r="L128" s="34">
        <f>SUM(AH118:AH130)</f>
        <v>2947.5</v>
      </c>
    </row>
    <row r="129" spans="1:12" ht="42.75">
      <c r="A129" s="59"/>
      <c r="B129" s="59" t="s">
        <v>80</v>
      </c>
      <c r="C129" s="59" t="s">
        <v>795</v>
      </c>
      <c r="D129" s="43" t="s">
        <v>777</v>
      </c>
      <c r="E129" s="44">
        <f>Source!CA37</f>
        <v>74</v>
      </c>
      <c r="F129" s="44"/>
      <c r="G129" s="44">
        <f>Source!AU37</f>
        <v>74</v>
      </c>
      <c r="H129" s="45"/>
      <c r="I129" s="46"/>
      <c r="J129" s="45">
        <f>SUM(AI118:AI130)</f>
        <v>64.44</v>
      </c>
      <c r="K129" s="46"/>
      <c r="L129" s="45">
        <f>SUM(AJ118:AJ130)</f>
        <v>1864.23</v>
      </c>
    </row>
    <row r="130" spans="3:53" ht="15">
      <c r="C130" s="102" t="s">
        <v>779</v>
      </c>
      <c r="D130" s="102"/>
      <c r="E130" s="102"/>
      <c r="F130" s="102"/>
      <c r="G130" s="102"/>
      <c r="H130" s="102"/>
      <c r="I130" s="102">
        <f>J120+J121+J123+J128+J129</f>
        <v>2349.69</v>
      </c>
      <c r="J130" s="102"/>
      <c r="O130" s="32">
        <f>I130</f>
        <v>2349.69</v>
      </c>
      <c r="P130">
        <f>K130</f>
        <v>0</v>
      </c>
      <c r="Q130" s="32">
        <f>J120</f>
        <v>72.91</v>
      </c>
      <c r="R130" s="32">
        <f>J120</f>
        <v>72.91</v>
      </c>
      <c r="U130" s="32">
        <f>L120</f>
        <v>2109.29</v>
      </c>
      <c r="X130" s="32">
        <f>J122</f>
        <v>14.17</v>
      </c>
      <c r="Z130" s="32">
        <f>L122</f>
        <v>409.94</v>
      </c>
      <c r="AB130" s="32">
        <f>J121</f>
        <v>132.1</v>
      </c>
      <c r="AD130" s="32">
        <f>L121</f>
        <v>0</v>
      </c>
      <c r="AF130" s="32">
        <f>J123</f>
        <v>1978.36</v>
      </c>
      <c r="AN130">
        <f>IF(Source!BI37&lt;=1,J120+J121+J123+J128+J129,0)</f>
        <v>2349.69</v>
      </c>
      <c r="AO130">
        <f>IF(Source!BI37&lt;=1,J123,0)</f>
        <v>1978.36</v>
      </c>
      <c r="AP130">
        <f>IF(Source!BI37&lt;=1,J121,0)</f>
        <v>132.1</v>
      </c>
      <c r="AQ130">
        <f>IF(Source!BI37&lt;=1,J120,0)</f>
        <v>72.91</v>
      </c>
      <c r="AX130">
        <f>IF(Source!BI37=2,J120+J121+J123+J128+J129,0)</f>
        <v>0</v>
      </c>
      <c r="AY130">
        <f>IF(Source!BI37=2,J123,0)</f>
        <v>0</v>
      </c>
      <c r="AZ130">
        <f>IF(Source!BI37=2,J121,0)</f>
        <v>0</v>
      </c>
      <c r="BA130">
        <f>IF(Source!BI37=2,J120,0)</f>
        <v>0</v>
      </c>
    </row>
    <row r="131" spans="1:56" ht="133.5">
      <c r="A131" s="57">
        <v>11</v>
      </c>
      <c r="B131" s="57" t="str">
        <f>Source!F38</f>
        <v>47-01-046-4</v>
      </c>
      <c r="C131" s="57" t="s">
        <v>796</v>
      </c>
      <c r="D131" s="41" t="str">
        <f>Source!H38</f>
        <v>100 м2</v>
      </c>
      <c r="E131" s="37">
        <f>Source!K38</f>
        <v>1.07</v>
      </c>
      <c r="F131" s="37"/>
      <c r="G131" s="37">
        <f>Source!I38</f>
        <v>1.07</v>
      </c>
      <c r="H131" s="34"/>
      <c r="I131" s="42"/>
      <c r="J131" s="34"/>
      <c r="K131" s="42"/>
      <c r="L131" s="34"/>
      <c r="AG131">
        <f>Source!X38</f>
        <v>469.65</v>
      </c>
      <c r="AH131">
        <f>Source!HK38</f>
        <v>13586.95</v>
      </c>
      <c r="AI131">
        <f>Source!Y38</f>
        <v>328.3</v>
      </c>
      <c r="AJ131">
        <f>Source!HL38</f>
        <v>9497.67</v>
      </c>
      <c r="AS131">
        <f>IF(Source!BI38&lt;=1,AH131,0)</f>
        <v>13586.95</v>
      </c>
      <c r="AT131">
        <f>IF(Source!BI38&lt;=1,AJ131,0)</f>
        <v>9497.67</v>
      </c>
      <c r="BC131">
        <f>IF(Source!BI38=2,AH131,0)</f>
        <v>0</v>
      </c>
      <c r="BD131">
        <f>IF(Source!BI38=2,AJ131,0)</f>
        <v>0</v>
      </c>
    </row>
    <row r="133" ht="12.75">
      <c r="C133" s="31" t="str">
        <f>"Объем: "&amp;Source!K38&amp;"=107/"&amp;"100"</f>
        <v>Объем: 1,07=107/100</v>
      </c>
    </row>
    <row r="134" spans="1:12" ht="14.25">
      <c r="A134" s="57"/>
      <c r="B134" s="58">
        <v>1</v>
      </c>
      <c r="C134" s="57" t="s">
        <v>771</v>
      </c>
      <c r="D134" s="41"/>
      <c r="E134" s="37"/>
      <c r="F134" s="37"/>
      <c r="G134" s="37"/>
      <c r="H134" s="34">
        <f>Source!AO38</f>
        <v>308.8</v>
      </c>
      <c r="I134" s="42">
        <f>ROUND(1.15*1.2,7)</f>
        <v>1.38</v>
      </c>
      <c r="J134" s="34">
        <f>ROUND(Source!AF38*Source!I38,2)</f>
        <v>455.97</v>
      </c>
      <c r="K134" s="42">
        <f>IF(Source!BA38&lt;&gt;0,Source!BA38,1)</f>
        <v>28.93</v>
      </c>
      <c r="L134" s="34">
        <f>Source!HJ38</f>
        <v>13191.21</v>
      </c>
    </row>
    <row r="135" spans="1:12" ht="14.25">
      <c r="A135" s="57"/>
      <c r="B135" s="58">
        <v>4</v>
      </c>
      <c r="C135" s="57" t="s">
        <v>793</v>
      </c>
      <c r="D135" s="41"/>
      <c r="E135" s="37"/>
      <c r="F135" s="37"/>
      <c r="G135" s="37"/>
      <c r="H135" s="34">
        <f>Source!AL38</f>
        <v>1940.55</v>
      </c>
      <c r="I135" s="42"/>
      <c r="J135" s="34">
        <f>ROUND(Source!AC38*Source!I38,2)</f>
        <v>2076.39</v>
      </c>
      <c r="K135" s="42"/>
      <c r="L135" s="34"/>
    </row>
    <row r="136" spans="1:12" ht="14.25">
      <c r="A136" s="57"/>
      <c r="B136" s="57"/>
      <c r="C136" s="59" t="s">
        <v>772</v>
      </c>
      <c r="D136" s="43" t="s">
        <v>773</v>
      </c>
      <c r="E136" s="44">
        <f>Source!AQ38</f>
        <v>40</v>
      </c>
      <c r="F136" s="44">
        <f>ROUND(1.15*1.2,7)</f>
        <v>1.38</v>
      </c>
      <c r="G136" s="44">
        <f>ROUND(Source!U38,7)</f>
        <v>59.064</v>
      </c>
      <c r="H136" s="45"/>
      <c r="I136" s="46"/>
      <c r="J136" s="45"/>
      <c r="K136" s="46"/>
      <c r="L136" s="45"/>
    </row>
    <row r="137" spans="1:12" ht="14.25">
      <c r="A137" s="57"/>
      <c r="B137" s="57"/>
      <c r="C137" s="57" t="s">
        <v>774</v>
      </c>
      <c r="D137" s="41"/>
      <c r="E137" s="37"/>
      <c r="F137" s="37"/>
      <c r="G137" s="37"/>
      <c r="H137" s="34">
        <f>H134+H135</f>
        <v>2249.35</v>
      </c>
      <c r="I137" s="42"/>
      <c r="J137" s="34">
        <f>J134+J135</f>
        <v>2532.3599999999997</v>
      </c>
      <c r="K137" s="42"/>
      <c r="L137" s="34"/>
    </row>
    <row r="138" spans="1:12" ht="14.25">
      <c r="A138" s="57"/>
      <c r="B138" s="57"/>
      <c r="C138" s="57" t="s">
        <v>775</v>
      </c>
      <c r="D138" s="41"/>
      <c r="E138" s="37"/>
      <c r="F138" s="37"/>
      <c r="G138" s="37"/>
      <c r="H138" s="34"/>
      <c r="I138" s="42"/>
      <c r="J138" s="34">
        <f>SUM(Q131:Q141)+SUM(V131:V141)+SUM(X131:X141)+SUM(Y131:Y141)</f>
        <v>455.97</v>
      </c>
      <c r="K138" s="42"/>
      <c r="L138" s="34">
        <f>SUM(U131:U141)+SUM(W131:W141)+SUM(Z131:Z141)+SUM(AA131:AA141)</f>
        <v>13191.21</v>
      </c>
    </row>
    <row r="139" spans="1:12" ht="28.5">
      <c r="A139" s="57"/>
      <c r="B139" s="57" t="s">
        <v>89</v>
      </c>
      <c r="C139" s="57" t="s">
        <v>797</v>
      </c>
      <c r="D139" s="41" t="s">
        <v>777</v>
      </c>
      <c r="E139" s="37">
        <f>Source!BZ38</f>
        <v>103</v>
      </c>
      <c r="F139" s="37"/>
      <c r="G139" s="37">
        <f>Source!AT38</f>
        <v>103</v>
      </c>
      <c r="H139" s="34"/>
      <c r="I139" s="42"/>
      <c r="J139" s="34">
        <f>SUM(AG131:AG141)</f>
        <v>469.65</v>
      </c>
      <c r="K139" s="42"/>
      <c r="L139" s="34">
        <f>SUM(AH131:AH141)</f>
        <v>13586.95</v>
      </c>
    </row>
    <row r="140" spans="1:12" ht="28.5">
      <c r="A140" s="59"/>
      <c r="B140" s="59" t="s">
        <v>90</v>
      </c>
      <c r="C140" s="59" t="s">
        <v>798</v>
      </c>
      <c r="D140" s="43" t="s">
        <v>777</v>
      </c>
      <c r="E140" s="44">
        <f>Source!CA38</f>
        <v>72</v>
      </c>
      <c r="F140" s="44"/>
      <c r="G140" s="44">
        <f>Source!AU38</f>
        <v>72</v>
      </c>
      <c r="H140" s="45"/>
      <c r="I140" s="46"/>
      <c r="J140" s="45">
        <f>SUM(AI131:AI141)</f>
        <v>328.3</v>
      </c>
      <c r="K140" s="46"/>
      <c r="L140" s="45">
        <f>SUM(AJ131:AJ141)</f>
        <v>9497.67</v>
      </c>
    </row>
    <row r="141" spans="3:53" ht="15">
      <c r="C141" s="102" t="s">
        <v>779</v>
      </c>
      <c r="D141" s="102"/>
      <c r="E141" s="102"/>
      <c r="F141" s="102"/>
      <c r="G141" s="102"/>
      <c r="H141" s="102"/>
      <c r="I141" s="102">
        <f>J134+J135+J139+J140</f>
        <v>3330.31</v>
      </c>
      <c r="J141" s="102"/>
      <c r="O141" s="32">
        <f>I141</f>
        <v>3330.31</v>
      </c>
      <c r="P141">
        <f>K141</f>
        <v>0</v>
      </c>
      <c r="Q141" s="32">
        <f>J134</f>
        <v>455.97</v>
      </c>
      <c r="R141" s="32">
        <f>J134</f>
        <v>455.97</v>
      </c>
      <c r="U141" s="32">
        <f>L134</f>
        <v>13191.21</v>
      </c>
      <c r="X141">
        <f>0</f>
        <v>0</v>
      </c>
      <c r="Z141">
        <f>0</f>
        <v>0</v>
      </c>
      <c r="AB141">
        <f>0</f>
        <v>0</v>
      </c>
      <c r="AD141">
        <f>0</f>
        <v>0</v>
      </c>
      <c r="AF141" s="32">
        <f>J135</f>
        <v>2076.39</v>
      </c>
      <c r="AN141">
        <f>IF(Source!BI38&lt;=1,J134+J135+J139+J140,0)</f>
        <v>3330.31</v>
      </c>
      <c r="AO141">
        <f>IF(Source!BI38&lt;=1,J135,0)</f>
        <v>2076.39</v>
      </c>
      <c r="AP141">
        <f>IF(Source!BI38&lt;=1,0,0)</f>
        <v>0</v>
      </c>
      <c r="AQ141">
        <f>IF(Source!BI38&lt;=1,J134,0)</f>
        <v>455.97</v>
      </c>
      <c r="AX141">
        <f>IF(Source!BI38=2,J134+J135+J139+J140,0)</f>
        <v>0</v>
      </c>
      <c r="AY141">
        <f>IF(Source!BI38=2,J135,0)</f>
        <v>0</v>
      </c>
      <c r="AZ141">
        <f>IF(Source!BI38=2,0,0)</f>
        <v>0</v>
      </c>
      <c r="BA141">
        <f>IF(Source!BI38=2,J134,0)</f>
        <v>0</v>
      </c>
    </row>
    <row r="142" spans="1:56" ht="133.5">
      <c r="A142" s="57">
        <v>12</v>
      </c>
      <c r="B142" s="57" t="str">
        <f>Source!F39</f>
        <v>47-01-046-5</v>
      </c>
      <c r="C142" s="57" t="s">
        <v>799</v>
      </c>
      <c r="D142" s="41" t="str">
        <f>Source!H39</f>
        <v>100 м2</v>
      </c>
      <c r="E142" s="37">
        <f>Source!K39</f>
        <v>-1.07</v>
      </c>
      <c r="F142" s="37"/>
      <c r="G142" s="37">
        <f>Source!I39</f>
        <v>-1.07</v>
      </c>
      <c r="H142" s="34"/>
      <c r="I142" s="42"/>
      <c r="J142" s="34"/>
      <c r="K142" s="42"/>
      <c r="L142" s="34"/>
      <c r="AG142">
        <f>Source!X39</f>
        <v>-64.23</v>
      </c>
      <c r="AH142">
        <f>Source!HK39</f>
        <v>-1858.19</v>
      </c>
      <c r="AI142">
        <f>Source!Y39</f>
        <v>-44.9</v>
      </c>
      <c r="AJ142">
        <f>Source!HL39</f>
        <v>-1298.93</v>
      </c>
      <c r="AS142">
        <f>IF(Source!BI39&lt;=1,AH142,0)</f>
        <v>-1858.19</v>
      </c>
      <c r="AT142">
        <f>IF(Source!BI39&lt;=1,AJ142,0)</f>
        <v>-1298.93</v>
      </c>
      <c r="BC142">
        <f>IF(Source!BI39=2,AH142,0)</f>
        <v>0</v>
      </c>
      <c r="BD142">
        <f>IF(Source!BI39=2,AJ142,0)</f>
        <v>0</v>
      </c>
    </row>
    <row r="144" ht="12.75">
      <c r="C144" s="31" t="str">
        <f>"Объем: "&amp;Source!K39&amp;"=-"&amp;"107/"&amp;"100"</f>
        <v>Объем: -1,07=-107/100</v>
      </c>
    </row>
    <row r="145" spans="1:12" ht="14.25">
      <c r="A145" s="57"/>
      <c r="B145" s="58">
        <v>1</v>
      </c>
      <c r="C145" s="57" t="s">
        <v>771</v>
      </c>
      <c r="D145" s="41"/>
      <c r="E145" s="37"/>
      <c r="F145" s="37"/>
      <c r="G145" s="37"/>
      <c r="H145" s="34">
        <f>Source!AO39</f>
        <v>42.23</v>
      </c>
      <c r="I145" s="42">
        <f>ROUND(1.2*1.15,7)</f>
        <v>1.38</v>
      </c>
      <c r="J145" s="34">
        <f>ROUND(Source!AF39*Source!I39,2)</f>
        <v>-62.36</v>
      </c>
      <c r="K145" s="42">
        <f>IF(Source!BA39&lt;&gt;0,Source!BA39,1)</f>
        <v>28.93</v>
      </c>
      <c r="L145" s="34">
        <f>Source!HJ39</f>
        <v>-1804.07</v>
      </c>
    </row>
    <row r="146" spans="1:12" ht="14.25">
      <c r="A146" s="57"/>
      <c r="B146" s="58">
        <v>4</v>
      </c>
      <c r="C146" s="57" t="s">
        <v>793</v>
      </c>
      <c r="D146" s="41"/>
      <c r="E146" s="37"/>
      <c r="F146" s="37"/>
      <c r="G146" s="37"/>
      <c r="H146" s="34">
        <f>Source!AL39</f>
        <v>646.85</v>
      </c>
      <c r="I146" s="42"/>
      <c r="J146" s="34">
        <f>ROUND(Source!AC39*Source!I39,2)</f>
        <v>-692.13</v>
      </c>
      <c r="K146" s="42"/>
      <c r="L146" s="34"/>
    </row>
    <row r="147" spans="1:12" ht="14.25">
      <c r="A147" s="57"/>
      <c r="B147" s="57"/>
      <c r="C147" s="59" t="s">
        <v>772</v>
      </c>
      <c r="D147" s="43" t="s">
        <v>773</v>
      </c>
      <c r="E147" s="44">
        <f>Source!AQ39</f>
        <v>5.47</v>
      </c>
      <c r="F147" s="44">
        <f>ROUND(1.2*1.15,7)</f>
        <v>1.38</v>
      </c>
      <c r="G147" s="44">
        <f>ROUND(Source!U39,7)</f>
        <v>-8.077002</v>
      </c>
      <c r="H147" s="45"/>
      <c r="I147" s="46"/>
      <c r="J147" s="45"/>
      <c r="K147" s="46"/>
      <c r="L147" s="45"/>
    </row>
    <row r="148" spans="1:12" ht="14.25">
      <c r="A148" s="57"/>
      <c r="B148" s="57"/>
      <c r="C148" s="57" t="s">
        <v>774</v>
      </c>
      <c r="D148" s="41"/>
      <c r="E148" s="37"/>
      <c r="F148" s="37"/>
      <c r="G148" s="37"/>
      <c r="H148" s="34">
        <f>H145+H146</f>
        <v>689.08</v>
      </c>
      <c r="I148" s="42"/>
      <c r="J148" s="34">
        <f>J145+J146</f>
        <v>-754.49</v>
      </c>
      <c r="K148" s="42"/>
      <c r="L148" s="34"/>
    </row>
    <row r="149" spans="1:12" ht="14.25">
      <c r="A149" s="57"/>
      <c r="B149" s="57"/>
      <c r="C149" s="57" t="s">
        <v>775</v>
      </c>
      <c r="D149" s="41"/>
      <c r="E149" s="37"/>
      <c r="F149" s="37"/>
      <c r="G149" s="37"/>
      <c r="H149" s="34"/>
      <c r="I149" s="42"/>
      <c r="J149" s="34">
        <f>SUM(Q142:Q152)+SUM(V142:V152)+SUM(X142:X152)+SUM(Y142:Y152)</f>
        <v>-62.36</v>
      </c>
      <c r="K149" s="42"/>
      <c r="L149" s="34">
        <f>SUM(U142:U152)+SUM(W142:W152)+SUM(Z142:Z152)+SUM(AA142:AA152)</f>
        <v>-1804.07</v>
      </c>
    </row>
    <row r="150" spans="1:12" ht="28.5">
      <c r="A150" s="57"/>
      <c r="B150" s="57" t="s">
        <v>89</v>
      </c>
      <c r="C150" s="57" t="s">
        <v>797</v>
      </c>
      <c r="D150" s="41" t="s">
        <v>777</v>
      </c>
      <c r="E150" s="37">
        <f>Source!BZ39</f>
        <v>103</v>
      </c>
      <c r="F150" s="37"/>
      <c r="G150" s="37">
        <f>Source!AT39</f>
        <v>103</v>
      </c>
      <c r="H150" s="34"/>
      <c r="I150" s="42"/>
      <c r="J150" s="34">
        <f>SUM(AG142:AG152)</f>
        <v>-64.23</v>
      </c>
      <c r="K150" s="42"/>
      <c r="L150" s="34">
        <f>SUM(AH142:AH152)</f>
        <v>-1858.19</v>
      </c>
    </row>
    <row r="151" spans="1:12" ht="28.5">
      <c r="A151" s="59"/>
      <c r="B151" s="59" t="s">
        <v>90</v>
      </c>
      <c r="C151" s="59" t="s">
        <v>798</v>
      </c>
      <c r="D151" s="43" t="s">
        <v>777</v>
      </c>
      <c r="E151" s="44">
        <f>Source!CA39</f>
        <v>72</v>
      </c>
      <c r="F151" s="44"/>
      <c r="G151" s="44">
        <f>Source!AU39</f>
        <v>72</v>
      </c>
      <c r="H151" s="45"/>
      <c r="I151" s="46"/>
      <c r="J151" s="45">
        <f>SUM(AI142:AI152)</f>
        <v>-44.9</v>
      </c>
      <c r="K151" s="46"/>
      <c r="L151" s="45">
        <f>SUM(AJ142:AJ152)</f>
        <v>-1298.93</v>
      </c>
    </row>
    <row r="152" spans="3:53" ht="15">
      <c r="C152" s="102" t="s">
        <v>779</v>
      </c>
      <c r="D152" s="102"/>
      <c r="E152" s="102"/>
      <c r="F152" s="102"/>
      <c r="G152" s="102"/>
      <c r="H152" s="102"/>
      <c r="I152" s="102">
        <f>J145+J146+J150+J151</f>
        <v>-863.62</v>
      </c>
      <c r="J152" s="102"/>
      <c r="O152" s="32">
        <f>I152</f>
        <v>-863.62</v>
      </c>
      <c r="P152">
        <f>K152</f>
        <v>0</v>
      </c>
      <c r="Q152" s="32">
        <f>J145</f>
        <v>-62.36</v>
      </c>
      <c r="R152" s="32">
        <f>J145</f>
        <v>-62.36</v>
      </c>
      <c r="U152" s="32">
        <f>L145</f>
        <v>-1804.07</v>
      </c>
      <c r="X152">
        <f>0</f>
        <v>0</v>
      </c>
      <c r="Z152">
        <f>0</f>
        <v>0</v>
      </c>
      <c r="AB152">
        <f>0</f>
        <v>0</v>
      </c>
      <c r="AD152">
        <f>0</f>
        <v>0</v>
      </c>
      <c r="AF152" s="32">
        <f>J146</f>
        <v>-692.13</v>
      </c>
      <c r="AN152">
        <f>IF(Source!BI39&lt;=1,J145+J146+J150+J151,0)</f>
        <v>-863.62</v>
      </c>
      <c r="AO152">
        <f>IF(Source!BI39&lt;=1,J146,0)</f>
        <v>-692.13</v>
      </c>
      <c r="AP152">
        <f>IF(Source!BI39&lt;=1,0,0)</f>
        <v>0</v>
      </c>
      <c r="AQ152">
        <f>IF(Source!BI39&lt;=1,J145,0)</f>
        <v>-62.36</v>
      </c>
      <c r="AX152">
        <f>IF(Source!BI39=2,J145+J146+J150+J151,0)</f>
        <v>0</v>
      </c>
      <c r="AY152">
        <f>IF(Source!BI39=2,J146,0)</f>
        <v>0</v>
      </c>
      <c r="AZ152">
        <f>IF(Source!BI39=2,0,0)</f>
        <v>0</v>
      </c>
      <c r="BA152">
        <f>IF(Source!BI39=2,J145,0)</f>
        <v>0</v>
      </c>
    </row>
    <row r="154" spans="1:95" ht="15">
      <c r="A154" s="48"/>
      <c r="B154" s="49"/>
      <c r="C154" s="101" t="s">
        <v>800</v>
      </c>
      <c r="D154" s="101"/>
      <c r="E154" s="101"/>
      <c r="F154" s="101"/>
      <c r="G154" s="101"/>
      <c r="H154" s="101"/>
      <c r="I154" s="51"/>
      <c r="J154" s="52">
        <f>J156+J157+J158+J159</f>
        <v>4501.24</v>
      </c>
      <c r="K154" s="52"/>
      <c r="L154" s="52"/>
      <c r="CQ154" s="50" t="s">
        <v>800</v>
      </c>
    </row>
    <row r="155" spans="1:12" ht="14.25">
      <c r="A155" s="53"/>
      <c r="B155" s="54"/>
      <c r="C155" s="105" t="s">
        <v>801</v>
      </c>
      <c r="D155" s="104"/>
      <c r="E155" s="104"/>
      <c r="F155" s="104"/>
      <c r="G155" s="104"/>
      <c r="H155" s="104"/>
      <c r="I155" s="55"/>
      <c r="J155" s="56"/>
      <c r="K155" s="56"/>
      <c r="L155" s="56"/>
    </row>
    <row r="156" spans="1:12" ht="14.25">
      <c r="A156" s="53"/>
      <c r="B156" s="54"/>
      <c r="C156" s="104" t="s">
        <v>802</v>
      </c>
      <c r="D156" s="104"/>
      <c r="E156" s="104"/>
      <c r="F156" s="104"/>
      <c r="G156" s="104"/>
      <c r="H156" s="104"/>
      <c r="I156" s="55"/>
      <c r="J156" s="56">
        <f>SUM(Q29:Q152)</f>
        <v>650.96</v>
      </c>
      <c r="K156" s="56"/>
      <c r="L156" s="56"/>
    </row>
    <row r="157" spans="1:12" ht="14.25">
      <c r="A157" s="53"/>
      <c r="B157" s="54"/>
      <c r="C157" s="104" t="s">
        <v>803</v>
      </c>
      <c r="D157" s="104"/>
      <c r="E157" s="104"/>
      <c r="F157" s="104"/>
      <c r="G157" s="104"/>
      <c r="H157" s="104"/>
      <c r="I157" s="55"/>
      <c r="J157" s="56">
        <f>SUM(AB29:AB152)</f>
        <v>286.04999999999995</v>
      </c>
      <c r="K157" s="56"/>
      <c r="L157" s="56"/>
    </row>
    <row r="158" spans="1:12" ht="14.25">
      <c r="A158" s="53"/>
      <c r="B158" s="54"/>
      <c r="C158" s="104" t="s">
        <v>804</v>
      </c>
      <c r="D158" s="104"/>
      <c r="E158" s="104"/>
      <c r="F158" s="104"/>
      <c r="G158" s="104"/>
      <c r="H158" s="104"/>
      <c r="I158" s="55"/>
      <c r="J158" s="56">
        <f>Source!F44-J163</f>
        <v>3362.62</v>
      </c>
      <c r="K158" s="56"/>
      <c r="L158" s="56"/>
    </row>
    <row r="159" spans="1:12" ht="14.25">
      <c r="A159" s="53"/>
      <c r="B159" s="54"/>
      <c r="C159" s="104" t="s">
        <v>805</v>
      </c>
      <c r="D159" s="104"/>
      <c r="E159" s="104"/>
      <c r="F159" s="104"/>
      <c r="G159" s="104"/>
      <c r="H159" s="104"/>
      <c r="I159" s="55"/>
      <c r="J159" s="56">
        <f>Source!F66</f>
        <v>201.61</v>
      </c>
      <c r="K159" s="56"/>
      <c r="L159" s="56"/>
    </row>
    <row r="160" spans="1:12" ht="14.25">
      <c r="A160" s="53"/>
      <c r="B160" s="54"/>
      <c r="C160" s="104" t="s">
        <v>806</v>
      </c>
      <c r="D160" s="104"/>
      <c r="E160" s="104"/>
      <c r="F160" s="104"/>
      <c r="G160" s="104"/>
      <c r="H160" s="104"/>
      <c r="I160" s="55"/>
      <c r="J160" s="56">
        <f>SUM(Q29:Q152)+SUM(X29:X152)</f>
        <v>684.52</v>
      </c>
      <c r="K160" s="56"/>
      <c r="L160" s="56"/>
    </row>
    <row r="161" spans="1:12" ht="14.25">
      <c r="A161" s="53"/>
      <c r="B161" s="54"/>
      <c r="C161" s="104" t="s">
        <v>807</v>
      </c>
      <c r="D161" s="104"/>
      <c r="E161" s="104"/>
      <c r="F161" s="104"/>
      <c r="G161" s="104"/>
      <c r="H161" s="104"/>
      <c r="I161" s="55"/>
      <c r="J161" s="56">
        <f>Source!F67</f>
        <v>689.2</v>
      </c>
      <c r="K161" s="56"/>
      <c r="L161" s="56"/>
    </row>
    <row r="162" spans="1:12" ht="14.25">
      <c r="A162" s="53"/>
      <c r="B162" s="54"/>
      <c r="C162" s="104" t="s">
        <v>808</v>
      </c>
      <c r="D162" s="104"/>
      <c r="E162" s="104"/>
      <c r="F162" s="104"/>
      <c r="G162" s="104"/>
      <c r="H162" s="104"/>
      <c r="I162" s="55"/>
      <c r="J162" s="56">
        <f>Source!F68</f>
        <v>430.57</v>
      </c>
      <c r="K162" s="56"/>
      <c r="L162" s="56"/>
    </row>
    <row r="163" spans="1:12" ht="14.25" customHeight="1" hidden="1">
      <c r="A163" s="53"/>
      <c r="B163" s="54"/>
      <c r="C163" s="104" t="s">
        <v>809</v>
      </c>
      <c r="D163" s="104"/>
      <c r="E163" s="104"/>
      <c r="F163" s="104"/>
      <c r="G163" s="104"/>
      <c r="H163" s="104"/>
      <c r="I163" s="55"/>
      <c r="J163" s="56">
        <f>Source!F50</f>
        <v>0</v>
      </c>
      <c r="K163" s="56"/>
      <c r="L163" s="56"/>
    </row>
    <row r="164" spans="1:12" ht="14.25" customHeight="1" hidden="1">
      <c r="A164" s="53"/>
      <c r="B164" s="54"/>
      <c r="C164" s="104" t="s">
        <v>810</v>
      </c>
      <c r="D164" s="104"/>
      <c r="E164" s="104"/>
      <c r="F164" s="104"/>
      <c r="G164" s="104"/>
      <c r="H164" s="104"/>
      <c r="I164" s="55"/>
      <c r="J164" s="56">
        <f>Source!F60</f>
        <v>0</v>
      </c>
      <c r="K164" s="56"/>
      <c r="L164" s="56"/>
    </row>
    <row r="165" spans="1:12" ht="15">
      <c r="A165" s="48"/>
      <c r="B165" s="49"/>
      <c r="C165" s="101" t="s">
        <v>811</v>
      </c>
      <c r="D165" s="101"/>
      <c r="E165" s="101"/>
      <c r="F165" s="101"/>
      <c r="G165" s="101"/>
      <c r="H165" s="101"/>
      <c r="I165" s="51"/>
      <c r="J165" s="52">
        <f>Source!F69</f>
        <v>5621.01</v>
      </c>
      <c r="K165" s="52"/>
      <c r="L165" s="52"/>
    </row>
    <row r="166" spans="1:12" ht="14.25" customHeight="1" hidden="1">
      <c r="A166" s="53"/>
      <c r="B166" s="54"/>
      <c r="C166" s="105" t="s">
        <v>801</v>
      </c>
      <c r="D166" s="104"/>
      <c r="E166" s="104"/>
      <c r="F166" s="104"/>
      <c r="G166" s="104"/>
      <c r="H166" s="104"/>
      <c r="I166" s="55"/>
      <c r="J166" s="56"/>
      <c r="K166" s="56"/>
      <c r="L166" s="56"/>
    </row>
    <row r="167" spans="1:12" ht="14.25" customHeight="1" hidden="1">
      <c r="A167" s="53"/>
      <c r="B167" s="54"/>
      <c r="C167" s="104" t="s">
        <v>812</v>
      </c>
      <c r="D167" s="104"/>
      <c r="E167" s="104"/>
      <c r="F167" s="104"/>
      <c r="G167" s="104"/>
      <c r="H167" s="104"/>
      <c r="I167" s="55"/>
      <c r="J167" s="56"/>
      <c r="K167" s="56"/>
      <c r="L167" s="56">
        <f>SUM(BS29:BS152)</f>
        <v>0</v>
      </c>
    </row>
    <row r="168" spans="1:12" ht="14.25" customHeight="1" hidden="1">
      <c r="A168" s="53"/>
      <c r="B168" s="54"/>
      <c r="C168" s="104" t="s">
        <v>813</v>
      </c>
      <c r="D168" s="104"/>
      <c r="E168" s="104"/>
      <c r="F168" s="104"/>
      <c r="G168" s="104"/>
      <c r="H168" s="104"/>
      <c r="I168" s="55"/>
      <c r="J168" s="56"/>
      <c r="K168" s="56"/>
      <c r="L168" s="56">
        <f>SUM(BT29:BT152)</f>
        <v>0</v>
      </c>
    </row>
    <row r="169" spans="3:10" ht="14.25">
      <c r="C169" s="103" t="str">
        <f>Source!H70</f>
        <v>Итого прямые затраты</v>
      </c>
      <c r="D169" s="103"/>
      <c r="E169" s="103"/>
      <c r="F169" s="103"/>
      <c r="G169" s="103"/>
      <c r="H169" s="103"/>
      <c r="I169" s="103"/>
      <c r="J169" s="33">
        <f>IF(Source!W70=0,"",Source!W70)</f>
        <v>4501</v>
      </c>
    </row>
    <row r="170" spans="3:10" ht="14.25">
      <c r="C170" s="103" t="str">
        <f>Source!H71</f>
        <v>Накладные расходы</v>
      </c>
      <c r="D170" s="103"/>
      <c r="E170" s="103"/>
      <c r="F170" s="103"/>
      <c r="G170" s="103"/>
      <c r="H170" s="103"/>
      <c r="I170" s="103"/>
      <c r="J170" s="33">
        <f>IF(Source!W71=0,"",Source!W71)</f>
        <v>689</v>
      </c>
    </row>
    <row r="171" spans="3:10" ht="14.25">
      <c r="C171" s="103" t="str">
        <f>Source!H72</f>
        <v>Сметная прибыль</v>
      </c>
      <c r="D171" s="103"/>
      <c r="E171" s="103"/>
      <c r="F171" s="103"/>
      <c r="G171" s="103"/>
      <c r="H171" s="103"/>
      <c r="I171" s="103"/>
      <c r="J171" s="33">
        <f>IF(Source!W72=0,"",Source!W72)</f>
        <v>431</v>
      </c>
    </row>
    <row r="172" spans="3:10" ht="14.25">
      <c r="C172" s="103" t="str">
        <f>Source!H73</f>
        <v>Итого</v>
      </c>
      <c r="D172" s="103"/>
      <c r="E172" s="103"/>
      <c r="F172" s="103"/>
      <c r="G172" s="103"/>
      <c r="H172" s="103"/>
      <c r="I172" s="103"/>
      <c r="J172" s="34">
        <f>IF(Source!W73=0,"",Source!W73)</f>
        <v>5621</v>
      </c>
    </row>
    <row r="173" spans="3:10" ht="14.25">
      <c r="C173" s="103" t="str">
        <f>Source!H74</f>
        <v>В том числе общестроительные работы</v>
      </c>
      <c r="D173" s="103"/>
      <c r="E173" s="103"/>
      <c r="F173" s="103"/>
      <c r="G173" s="103"/>
      <c r="H173" s="103"/>
      <c r="I173" s="103"/>
      <c r="J173" s="34">
        <f>IF(Source!W74=0,"",Source!W74)</f>
        <v>5621.01</v>
      </c>
    </row>
    <row r="175" spans="1:12" ht="16.5">
      <c r="A175" s="106" t="s">
        <v>814</v>
      </c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1:56" ht="105">
      <c r="A176" s="57">
        <v>13</v>
      </c>
      <c r="B176" s="57" t="str">
        <f>Source!F84</f>
        <v>м08-02-142-1</v>
      </c>
      <c r="C176" s="57" t="s">
        <v>815</v>
      </c>
      <c r="D176" s="41" t="str">
        <f>Source!H84</f>
        <v>100 м кабеля</v>
      </c>
      <c r="E176" s="37">
        <f>Source!K84</f>
        <v>1.11</v>
      </c>
      <c r="F176" s="37"/>
      <c r="G176" s="37">
        <f>Source!I84</f>
        <v>1.11</v>
      </c>
      <c r="H176" s="34"/>
      <c r="I176" s="42"/>
      <c r="J176" s="34"/>
      <c r="K176" s="42"/>
      <c r="L176" s="34"/>
      <c r="AG176">
        <f>Source!X84</f>
        <v>73.63</v>
      </c>
      <c r="AH176">
        <f>Source!HK84</f>
        <v>2130.2</v>
      </c>
      <c r="AI176">
        <f>Source!Y84</f>
        <v>38.71</v>
      </c>
      <c r="AJ176">
        <f>Source!HL84</f>
        <v>1120</v>
      </c>
      <c r="AS176">
        <f>IF(Source!BI84&lt;=1,AH176,0)</f>
        <v>0</v>
      </c>
      <c r="AT176">
        <f>IF(Source!BI84&lt;=1,AJ176,0)</f>
        <v>0</v>
      </c>
      <c r="BC176">
        <f>IF(Source!BI84=2,AH176,0)</f>
        <v>2130.2</v>
      </c>
      <c r="BD176">
        <f>IF(Source!BI84=2,AJ176,0)</f>
        <v>1120</v>
      </c>
    </row>
    <row r="178" ht="12.75">
      <c r="C178" s="31" t="str">
        <f>"Объем: "&amp;Source!K84&amp;"=111/"&amp;"100"</f>
        <v>Объем: 1,11=111/100</v>
      </c>
    </row>
    <row r="179" spans="1:12" ht="14.25">
      <c r="A179" s="57"/>
      <c r="B179" s="58">
        <v>1</v>
      </c>
      <c r="C179" s="57" t="s">
        <v>771</v>
      </c>
      <c r="D179" s="41"/>
      <c r="E179" s="37"/>
      <c r="F179" s="37"/>
      <c r="G179" s="37"/>
      <c r="H179" s="34">
        <f>Source!AO84</f>
        <v>49.56</v>
      </c>
      <c r="I179" s="42">
        <f>ROUND(1.2*1.15,7)</f>
        <v>1.38</v>
      </c>
      <c r="J179" s="34">
        <f>ROUND(Source!AF84*Source!I84,2)</f>
        <v>75.91</v>
      </c>
      <c r="K179" s="42">
        <f>IF(Source!BA84&lt;&gt;0,Source!BA84,1)</f>
        <v>28.93</v>
      </c>
      <c r="L179" s="34">
        <f>Source!HJ84</f>
        <v>2196.08</v>
      </c>
    </row>
    <row r="180" spans="1:12" ht="14.25">
      <c r="A180" s="57"/>
      <c r="B180" s="58">
        <v>3</v>
      </c>
      <c r="C180" s="57" t="s">
        <v>782</v>
      </c>
      <c r="D180" s="41"/>
      <c r="E180" s="37"/>
      <c r="F180" s="37"/>
      <c r="G180" s="37"/>
      <c r="H180" s="34">
        <f>Source!AM84</f>
        <v>314.93</v>
      </c>
      <c r="I180" s="42">
        <f>ROUND(1.2*1.15,7)</f>
        <v>1.38</v>
      </c>
      <c r="J180" s="34">
        <f>ROUND(Source!AD84*Source!I84,2)</f>
        <v>482.41</v>
      </c>
      <c r="K180" s="42"/>
      <c r="L180" s="34"/>
    </row>
    <row r="181" spans="1:12" ht="14.25">
      <c r="A181" s="57"/>
      <c r="B181" s="58">
        <v>4</v>
      </c>
      <c r="C181" s="57" t="s">
        <v>793</v>
      </c>
      <c r="D181" s="41"/>
      <c r="E181" s="37"/>
      <c r="F181" s="37"/>
      <c r="G181" s="37"/>
      <c r="H181" s="34">
        <f>Source!AL84</f>
        <v>0.99</v>
      </c>
      <c r="I181" s="42"/>
      <c r="J181" s="34">
        <f>ROUND(Source!AC84*Source!I84,2)</f>
        <v>1.1</v>
      </c>
      <c r="K181" s="42"/>
      <c r="L181" s="34"/>
    </row>
    <row r="182" spans="1:12" ht="14.25">
      <c r="A182" s="57"/>
      <c r="B182" s="57"/>
      <c r="C182" s="59" t="s">
        <v>772</v>
      </c>
      <c r="D182" s="43" t="s">
        <v>773</v>
      </c>
      <c r="E182" s="44">
        <f>Source!AQ84</f>
        <v>5.3</v>
      </c>
      <c r="F182" s="44">
        <f>ROUND(1.2*1.15,7)</f>
        <v>1.38</v>
      </c>
      <c r="G182" s="44">
        <f>ROUND(Source!U84,7)</f>
        <v>8.11854</v>
      </c>
      <c r="H182" s="45"/>
      <c r="I182" s="46"/>
      <c r="J182" s="45"/>
      <c r="K182" s="46"/>
      <c r="L182" s="45"/>
    </row>
    <row r="183" spans="1:12" ht="14.25">
      <c r="A183" s="57"/>
      <c r="B183" s="57"/>
      <c r="C183" s="57" t="s">
        <v>774</v>
      </c>
      <c r="D183" s="41"/>
      <c r="E183" s="37"/>
      <c r="F183" s="37"/>
      <c r="G183" s="37"/>
      <c r="H183" s="34">
        <f>H179+H180+H181</f>
        <v>365.48</v>
      </c>
      <c r="I183" s="42"/>
      <c r="J183" s="34">
        <f>J179+J180+J181</f>
        <v>559.4200000000001</v>
      </c>
      <c r="K183" s="42"/>
      <c r="L183" s="34"/>
    </row>
    <row r="184" spans="1:12" ht="14.25">
      <c r="A184" s="57"/>
      <c r="B184" s="57"/>
      <c r="C184" s="57" t="s">
        <v>775</v>
      </c>
      <c r="D184" s="41"/>
      <c r="E184" s="37"/>
      <c r="F184" s="37"/>
      <c r="G184" s="37"/>
      <c r="H184" s="34"/>
      <c r="I184" s="42"/>
      <c r="J184" s="34">
        <f>SUM(Q176:Q187)+SUM(V176:V187)+SUM(X176:X187)+SUM(Y176:Y187)</f>
        <v>75.91</v>
      </c>
      <c r="K184" s="42"/>
      <c r="L184" s="34">
        <f>SUM(U176:U187)+SUM(W176:W187)+SUM(Z176:Z187)+SUM(AA176:AA187)</f>
        <v>2196.08</v>
      </c>
    </row>
    <row r="185" spans="1:12" ht="28.5">
      <c r="A185" s="57"/>
      <c r="B185" s="57" t="s">
        <v>173</v>
      </c>
      <c r="C185" s="57" t="s">
        <v>816</v>
      </c>
      <c r="D185" s="41" t="s">
        <v>777</v>
      </c>
      <c r="E185" s="37">
        <f>Source!BZ84</f>
        <v>97</v>
      </c>
      <c r="F185" s="37"/>
      <c r="G185" s="37">
        <f>Source!AT84</f>
        <v>97</v>
      </c>
      <c r="H185" s="34"/>
      <c r="I185" s="42"/>
      <c r="J185" s="34">
        <f>SUM(AG176:AG187)</f>
        <v>73.63</v>
      </c>
      <c r="K185" s="42"/>
      <c r="L185" s="34">
        <f>SUM(AH176:AH187)</f>
        <v>2130.2</v>
      </c>
    </row>
    <row r="186" spans="1:12" ht="28.5">
      <c r="A186" s="59"/>
      <c r="B186" s="59" t="s">
        <v>174</v>
      </c>
      <c r="C186" s="59" t="s">
        <v>817</v>
      </c>
      <c r="D186" s="43" t="s">
        <v>777</v>
      </c>
      <c r="E186" s="44">
        <f>Source!CA84</f>
        <v>51</v>
      </c>
      <c r="F186" s="44"/>
      <c r="G186" s="44">
        <f>Source!AU84</f>
        <v>51</v>
      </c>
      <c r="H186" s="45"/>
      <c r="I186" s="46"/>
      <c r="J186" s="45">
        <f>SUM(AI176:AI187)</f>
        <v>38.71</v>
      </c>
      <c r="K186" s="46"/>
      <c r="L186" s="45">
        <f>SUM(AJ176:AJ187)</f>
        <v>1120</v>
      </c>
    </row>
    <row r="187" spans="3:53" ht="15">
      <c r="C187" s="102" t="s">
        <v>779</v>
      </c>
      <c r="D187" s="102"/>
      <c r="E187" s="102"/>
      <c r="F187" s="102"/>
      <c r="G187" s="102"/>
      <c r="H187" s="102"/>
      <c r="I187" s="102">
        <f>J179+J180+J181+J185+J186</f>
        <v>671.7600000000001</v>
      </c>
      <c r="J187" s="102"/>
      <c r="O187" s="32">
        <f>I187</f>
        <v>671.7600000000001</v>
      </c>
      <c r="P187">
        <f>K187</f>
        <v>0</v>
      </c>
      <c r="Q187" s="32">
        <f>J179</f>
        <v>75.91</v>
      </c>
      <c r="R187" s="32">
        <f>J179</f>
        <v>75.91</v>
      </c>
      <c r="U187" s="32">
        <f>L179</f>
        <v>2196.08</v>
      </c>
      <c r="X187">
        <f>0</f>
        <v>0</v>
      </c>
      <c r="Z187">
        <f>0</f>
        <v>0</v>
      </c>
      <c r="AB187" s="32">
        <f>J180</f>
        <v>482.41</v>
      </c>
      <c r="AD187" s="32">
        <f>L180</f>
        <v>0</v>
      </c>
      <c r="AF187" s="32">
        <f>J181</f>
        <v>1.1</v>
      </c>
      <c r="AN187">
        <f>IF(Source!BI84&lt;=1,J179+J180+J181+J185+J186,0)</f>
        <v>0</v>
      </c>
      <c r="AO187">
        <f>IF(Source!BI84&lt;=1,J181,0)</f>
        <v>0</v>
      </c>
      <c r="AP187">
        <f>IF(Source!BI84&lt;=1,J180,0)</f>
        <v>0</v>
      </c>
      <c r="AQ187">
        <f>IF(Source!BI84&lt;=1,J179,0)</f>
        <v>0</v>
      </c>
      <c r="AX187">
        <f>IF(Source!BI84=2,J179+J180+J181+J185+J186,0)</f>
        <v>671.7600000000001</v>
      </c>
      <c r="AY187">
        <f>IF(Source!BI84=2,J181,0)</f>
        <v>1.1</v>
      </c>
      <c r="AZ187">
        <f>IF(Source!BI84=2,J180,0)</f>
        <v>482.41</v>
      </c>
      <c r="BA187">
        <f>IF(Source!BI84=2,J179,0)</f>
        <v>75.91</v>
      </c>
    </row>
    <row r="188" spans="1:56" ht="105">
      <c r="A188" s="57">
        <v>14</v>
      </c>
      <c r="B188" s="57" t="str">
        <f>Source!F85</f>
        <v>м08-02-143-1</v>
      </c>
      <c r="C188" s="57" t="s">
        <v>818</v>
      </c>
      <c r="D188" s="41" t="str">
        <f>Source!H85</f>
        <v>100 м кабеля</v>
      </c>
      <c r="E188" s="37">
        <f>Source!K85</f>
        <v>0.85</v>
      </c>
      <c r="F188" s="37"/>
      <c r="G188" s="37">
        <f>Source!I85</f>
        <v>0.85</v>
      </c>
      <c r="H188" s="34"/>
      <c r="I188" s="42"/>
      <c r="J188" s="34"/>
      <c r="K188" s="42"/>
      <c r="L188" s="34"/>
      <c r="AG188">
        <f>Source!X85</f>
        <v>81.26</v>
      </c>
      <c r="AH188">
        <f>Source!HK85</f>
        <v>2350.77</v>
      </c>
      <c r="AI188">
        <f>Source!Y85</f>
        <v>42.72</v>
      </c>
      <c r="AJ188">
        <f>Source!HL85</f>
        <v>1235.97</v>
      </c>
      <c r="AS188">
        <f>IF(Source!BI85&lt;=1,AH188,0)</f>
        <v>0</v>
      </c>
      <c r="AT188">
        <f>IF(Source!BI85&lt;=1,AJ188,0)</f>
        <v>0</v>
      </c>
      <c r="BC188">
        <f>IF(Source!BI85=2,AH188,0)</f>
        <v>2350.77</v>
      </c>
      <c r="BD188">
        <f>IF(Source!BI85=2,AJ188,0)</f>
        <v>1235.97</v>
      </c>
    </row>
    <row r="190" ht="12.75">
      <c r="C190" s="31" t="str">
        <f>"Объем: "&amp;Source!K85&amp;"=85/"&amp;"100"</f>
        <v>Объем: 0,85=85/100</v>
      </c>
    </row>
    <row r="191" spans="1:12" ht="14.25">
      <c r="A191" s="57"/>
      <c r="B191" s="58">
        <v>1</v>
      </c>
      <c r="C191" s="57" t="s">
        <v>771</v>
      </c>
      <c r="D191" s="41"/>
      <c r="E191" s="37"/>
      <c r="F191" s="37"/>
      <c r="G191" s="37"/>
      <c r="H191" s="34">
        <f>Source!AO85</f>
        <v>48.71</v>
      </c>
      <c r="I191" s="42">
        <f>ROUND(1.2*1.15,7)</f>
        <v>1.38</v>
      </c>
      <c r="J191" s="34">
        <f>ROUND(Source!AF85*Source!I85,2)</f>
        <v>57.14</v>
      </c>
      <c r="K191" s="42">
        <f>IF(Source!BA85&lt;&gt;0,Source!BA85,1)</f>
        <v>28.93</v>
      </c>
      <c r="L191" s="34">
        <f>Source!HJ85</f>
        <v>1653.06</v>
      </c>
    </row>
    <row r="192" spans="1:12" ht="14.25">
      <c r="A192" s="57"/>
      <c r="B192" s="58">
        <v>3</v>
      </c>
      <c r="C192" s="57" t="s">
        <v>782</v>
      </c>
      <c r="D192" s="41"/>
      <c r="E192" s="37"/>
      <c r="F192" s="37"/>
      <c r="G192" s="37"/>
      <c r="H192" s="34">
        <f>Source!AM85</f>
        <v>410.82</v>
      </c>
      <c r="I192" s="42">
        <f>ROUND(1.2*1.15,7)</f>
        <v>1.38</v>
      </c>
      <c r="J192" s="34">
        <f>ROUND(Source!AD85*Source!I85,2)</f>
        <v>481.9</v>
      </c>
      <c r="K192" s="42"/>
      <c r="L192" s="34"/>
    </row>
    <row r="193" spans="1:12" ht="14.25">
      <c r="A193" s="57"/>
      <c r="B193" s="58">
        <v>2</v>
      </c>
      <c r="C193" s="57" t="s">
        <v>783</v>
      </c>
      <c r="D193" s="41"/>
      <c r="E193" s="37"/>
      <c r="F193" s="37"/>
      <c r="G193" s="37"/>
      <c r="H193" s="34">
        <f>Source!AN85</f>
        <v>22.7</v>
      </c>
      <c r="I193" s="42">
        <f>ROUND(1.2*1.15,7)</f>
        <v>1.38</v>
      </c>
      <c r="J193" s="47">
        <f>ROUND(Source!AE85*Source!I85,2)</f>
        <v>26.63</v>
      </c>
      <c r="K193" s="42">
        <f>IF(Source!BS85&lt;&gt;0,Source!BS85,1)</f>
        <v>28.93</v>
      </c>
      <c r="L193" s="47">
        <f>Source!HI85</f>
        <v>770.41</v>
      </c>
    </row>
    <row r="194" spans="1:12" ht="14.25">
      <c r="A194" s="57"/>
      <c r="B194" s="58">
        <v>4</v>
      </c>
      <c r="C194" s="57" t="s">
        <v>793</v>
      </c>
      <c r="D194" s="41"/>
      <c r="E194" s="37"/>
      <c r="F194" s="37"/>
      <c r="G194" s="37"/>
      <c r="H194" s="34">
        <f>Source!AL85</f>
        <v>0.97</v>
      </c>
      <c r="I194" s="42"/>
      <c r="J194" s="34">
        <f>ROUND(Source!AC85*Source!I85,2)</f>
        <v>0.82</v>
      </c>
      <c r="K194" s="42"/>
      <c r="L194" s="34"/>
    </row>
    <row r="195" spans="1:12" ht="14.25">
      <c r="A195" s="57"/>
      <c r="B195" s="57"/>
      <c r="C195" s="57" t="s">
        <v>772</v>
      </c>
      <c r="D195" s="41" t="s">
        <v>773</v>
      </c>
      <c r="E195" s="37">
        <f>Source!AQ85</f>
        <v>5.21</v>
      </c>
      <c r="F195" s="37">
        <f>ROUND(1.2*1.15,7)</f>
        <v>1.38</v>
      </c>
      <c r="G195" s="37">
        <f>ROUND(Source!U85,7)</f>
        <v>6.11133</v>
      </c>
      <c r="H195" s="34"/>
      <c r="I195" s="42"/>
      <c r="J195" s="34"/>
      <c r="K195" s="42"/>
      <c r="L195" s="34"/>
    </row>
    <row r="196" spans="1:12" ht="14.25">
      <c r="A196" s="57"/>
      <c r="B196" s="57"/>
      <c r="C196" s="59" t="s">
        <v>784</v>
      </c>
      <c r="D196" s="43" t="s">
        <v>773</v>
      </c>
      <c r="E196" s="44">
        <f>Source!AR85</f>
        <v>1.73</v>
      </c>
      <c r="F196" s="44">
        <f>ROUND(1.2*1.15,7)</f>
        <v>1.38</v>
      </c>
      <c r="G196" s="44">
        <f>ROUND(Source!V85,7)</f>
        <v>2.02929</v>
      </c>
      <c r="H196" s="45"/>
      <c r="I196" s="46"/>
      <c r="J196" s="45"/>
      <c r="K196" s="46"/>
      <c r="L196" s="45"/>
    </row>
    <row r="197" spans="1:12" ht="14.25">
      <c r="A197" s="57"/>
      <c r="B197" s="57"/>
      <c r="C197" s="57" t="s">
        <v>774</v>
      </c>
      <c r="D197" s="41"/>
      <c r="E197" s="37"/>
      <c r="F197" s="37"/>
      <c r="G197" s="37"/>
      <c r="H197" s="34">
        <f>H191+H192+H194</f>
        <v>460.5</v>
      </c>
      <c r="I197" s="42"/>
      <c r="J197" s="34">
        <f>J191+J192+J194</f>
        <v>539.86</v>
      </c>
      <c r="K197" s="42"/>
      <c r="L197" s="34"/>
    </row>
    <row r="198" spans="1:12" ht="14.25">
      <c r="A198" s="57"/>
      <c r="B198" s="57"/>
      <c r="C198" s="57" t="s">
        <v>775</v>
      </c>
      <c r="D198" s="41"/>
      <c r="E198" s="37"/>
      <c r="F198" s="37"/>
      <c r="G198" s="37"/>
      <c r="H198" s="34"/>
      <c r="I198" s="42"/>
      <c r="J198" s="34">
        <f>SUM(Q188:Q201)+SUM(V188:V201)+SUM(X188:X201)+SUM(Y188:Y201)</f>
        <v>83.77</v>
      </c>
      <c r="K198" s="42"/>
      <c r="L198" s="34">
        <f>SUM(U188:U201)+SUM(W188:W201)+SUM(Z188:Z201)+SUM(AA188:AA201)</f>
        <v>2423.47</v>
      </c>
    </row>
    <row r="199" spans="1:12" ht="28.5">
      <c r="A199" s="57"/>
      <c r="B199" s="57" t="s">
        <v>173</v>
      </c>
      <c r="C199" s="57" t="s">
        <v>816</v>
      </c>
      <c r="D199" s="41" t="s">
        <v>777</v>
      </c>
      <c r="E199" s="37">
        <f>Source!BZ85</f>
        <v>97</v>
      </c>
      <c r="F199" s="37"/>
      <c r="G199" s="37">
        <f>Source!AT85</f>
        <v>97</v>
      </c>
      <c r="H199" s="34"/>
      <c r="I199" s="42"/>
      <c r="J199" s="34">
        <f>SUM(AG188:AG201)</f>
        <v>81.26</v>
      </c>
      <c r="K199" s="42"/>
      <c r="L199" s="34">
        <f>SUM(AH188:AH201)</f>
        <v>2350.77</v>
      </c>
    </row>
    <row r="200" spans="1:12" ht="28.5">
      <c r="A200" s="59"/>
      <c r="B200" s="59" t="s">
        <v>174</v>
      </c>
      <c r="C200" s="59" t="s">
        <v>817</v>
      </c>
      <c r="D200" s="43" t="s">
        <v>777</v>
      </c>
      <c r="E200" s="44">
        <f>Source!CA85</f>
        <v>51</v>
      </c>
      <c r="F200" s="44"/>
      <c r="G200" s="44">
        <f>Source!AU85</f>
        <v>51</v>
      </c>
      <c r="H200" s="45"/>
      <c r="I200" s="46"/>
      <c r="J200" s="45">
        <f>SUM(AI188:AI201)</f>
        <v>42.72</v>
      </c>
      <c r="K200" s="46"/>
      <c r="L200" s="45">
        <f>SUM(AJ188:AJ201)</f>
        <v>1235.97</v>
      </c>
    </row>
    <row r="201" spans="3:53" ht="15">
      <c r="C201" s="102" t="s">
        <v>779</v>
      </c>
      <c r="D201" s="102"/>
      <c r="E201" s="102"/>
      <c r="F201" s="102"/>
      <c r="G201" s="102"/>
      <c r="H201" s="102"/>
      <c r="I201" s="102">
        <f>J191+J192+J194+J199+J200</f>
        <v>663.84</v>
      </c>
      <c r="J201" s="102"/>
      <c r="O201" s="32">
        <f>I201</f>
        <v>663.84</v>
      </c>
      <c r="P201">
        <f>K201</f>
        <v>0</v>
      </c>
      <c r="Q201" s="32">
        <f>J191</f>
        <v>57.14</v>
      </c>
      <c r="R201" s="32">
        <f>J191</f>
        <v>57.14</v>
      </c>
      <c r="U201" s="32">
        <f>L191</f>
        <v>1653.06</v>
      </c>
      <c r="X201" s="32">
        <f>J193</f>
        <v>26.63</v>
      </c>
      <c r="Z201" s="32">
        <f>L193</f>
        <v>770.41</v>
      </c>
      <c r="AB201" s="32">
        <f>J192</f>
        <v>481.9</v>
      </c>
      <c r="AD201" s="32">
        <f>L192</f>
        <v>0</v>
      </c>
      <c r="AF201" s="32">
        <f>J194</f>
        <v>0.82</v>
      </c>
      <c r="AN201">
        <f>IF(Source!BI85&lt;=1,J191+J192+J194+J199+J200,0)</f>
        <v>0</v>
      </c>
      <c r="AO201">
        <f>IF(Source!BI85&lt;=1,J194,0)</f>
        <v>0</v>
      </c>
      <c r="AP201">
        <f>IF(Source!BI85&lt;=1,J192,0)</f>
        <v>0</v>
      </c>
      <c r="AQ201">
        <f>IF(Source!BI85&lt;=1,J191,0)</f>
        <v>0</v>
      </c>
      <c r="AX201">
        <f>IF(Source!BI85=2,J191+J192+J194+J199+J200,0)</f>
        <v>663.84</v>
      </c>
      <c r="AY201">
        <f>IF(Source!BI85=2,J194,0)</f>
        <v>0.82</v>
      </c>
      <c r="AZ201">
        <f>IF(Source!BI85=2,J192,0)</f>
        <v>481.9</v>
      </c>
      <c r="BA201">
        <f>IF(Source!BI85=2,J191,0)</f>
        <v>57.14</v>
      </c>
    </row>
    <row r="202" spans="1:56" ht="105">
      <c r="A202" s="57">
        <v>15</v>
      </c>
      <c r="B202" s="57" t="str">
        <f>Source!F86</f>
        <v>м08-02-141-2</v>
      </c>
      <c r="C202" s="57" t="s">
        <v>819</v>
      </c>
      <c r="D202" s="41" t="str">
        <f>Source!H86</f>
        <v>100 м кабеля</v>
      </c>
      <c r="E202" s="37">
        <f>Source!K86</f>
        <v>0.92</v>
      </c>
      <c r="F202" s="37"/>
      <c r="G202" s="37">
        <f>Source!I86</f>
        <v>0.92</v>
      </c>
      <c r="H202" s="34"/>
      <c r="I202" s="42"/>
      <c r="J202" s="34"/>
      <c r="K202" s="42"/>
      <c r="L202" s="34"/>
      <c r="AG202">
        <f>Source!X86</f>
        <v>133.47</v>
      </c>
      <c r="AH202">
        <f>Source!HK86</f>
        <v>3861.35</v>
      </c>
      <c r="AI202">
        <f>Source!Y86</f>
        <v>70.18</v>
      </c>
      <c r="AJ202">
        <f>Source!HL86</f>
        <v>2030.19</v>
      </c>
      <c r="AS202">
        <f>IF(Source!BI86&lt;=1,AH202,0)</f>
        <v>0</v>
      </c>
      <c r="AT202">
        <f>IF(Source!BI86&lt;=1,AJ202,0)</f>
        <v>0</v>
      </c>
      <c r="BC202">
        <f>IF(Source!BI86=2,AH202,0)</f>
        <v>3861.35</v>
      </c>
      <c r="BD202">
        <f>IF(Source!BI86=2,AJ202,0)</f>
        <v>2030.19</v>
      </c>
    </row>
    <row r="204" ht="12.75">
      <c r="C204" s="31" t="str">
        <f>"Объем: "&amp;Source!K86&amp;"=92/"&amp;"100"</f>
        <v>Объем: 0,92=92/100</v>
      </c>
    </row>
    <row r="205" spans="1:12" ht="14.25">
      <c r="A205" s="57"/>
      <c r="B205" s="58">
        <v>1</v>
      </c>
      <c r="C205" s="57" t="s">
        <v>771</v>
      </c>
      <c r="D205" s="41"/>
      <c r="E205" s="37"/>
      <c r="F205" s="37"/>
      <c r="G205" s="37"/>
      <c r="H205" s="34">
        <f>Source!AO86</f>
        <v>102.48</v>
      </c>
      <c r="I205" s="42">
        <f>ROUND(1.15*1.2,7)</f>
        <v>1.38</v>
      </c>
      <c r="J205" s="34">
        <f>ROUND(Source!AF86*Source!I86,2)</f>
        <v>130.11</v>
      </c>
      <c r="K205" s="42">
        <f>IF(Source!BA86&lt;&gt;0,Source!BA86,1)</f>
        <v>28.93</v>
      </c>
      <c r="L205" s="34">
        <f>Source!HJ86</f>
        <v>3764.08</v>
      </c>
    </row>
    <row r="206" spans="1:12" ht="14.25">
      <c r="A206" s="57"/>
      <c r="B206" s="58">
        <v>3</v>
      </c>
      <c r="C206" s="57" t="s">
        <v>782</v>
      </c>
      <c r="D206" s="41"/>
      <c r="E206" s="37"/>
      <c r="F206" s="37"/>
      <c r="G206" s="37"/>
      <c r="H206" s="34">
        <f>Source!AM86</f>
        <v>125.72</v>
      </c>
      <c r="I206" s="42">
        <f>ROUND(1.15*1.2,7)</f>
        <v>1.38</v>
      </c>
      <c r="J206" s="34">
        <f>ROUND(Source!AD86*Source!I86,2)</f>
        <v>159.61</v>
      </c>
      <c r="K206" s="42"/>
      <c r="L206" s="34"/>
    </row>
    <row r="207" spans="1:12" ht="14.25">
      <c r="A207" s="57"/>
      <c r="B207" s="58">
        <v>2</v>
      </c>
      <c r="C207" s="57" t="s">
        <v>783</v>
      </c>
      <c r="D207" s="41"/>
      <c r="E207" s="37"/>
      <c r="F207" s="37"/>
      <c r="G207" s="37"/>
      <c r="H207" s="34">
        <f>Source!AN86</f>
        <v>5.9</v>
      </c>
      <c r="I207" s="42">
        <f>ROUND(1.15*1.2,7)</f>
        <v>1.38</v>
      </c>
      <c r="J207" s="47">
        <f>ROUND(Source!AE86*Source!I86,2)</f>
        <v>7.49</v>
      </c>
      <c r="K207" s="42">
        <f>IF(Source!BS86&lt;&gt;0,Source!BS86,1)</f>
        <v>28.93</v>
      </c>
      <c r="L207" s="47">
        <f>Source!HI86</f>
        <v>216.69</v>
      </c>
    </row>
    <row r="208" spans="1:12" ht="14.25">
      <c r="A208" s="57"/>
      <c r="B208" s="58">
        <v>4</v>
      </c>
      <c r="C208" s="57" t="s">
        <v>793</v>
      </c>
      <c r="D208" s="41"/>
      <c r="E208" s="37"/>
      <c r="F208" s="37"/>
      <c r="G208" s="37"/>
      <c r="H208" s="34">
        <f>Source!AL86</f>
        <v>96.6</v>
      </c>
      <c r="I208" s="42"/>
      <c r="J208" s="34">
        <f>ROUND(Source!AC86*Source!I86,2)</f>
        <v>88.87</v>
      </c>
      <c r="K208" s="42"/>
      <c r="L208" s="34"/>
    </row>
    <row r="209" spans="1:12" ht="14.25">
      <c r="A209" s="57"/>
      <c r="B209" s="57"/>
      <c r="C209" s="57" t="s">
        <v>772</v>
      </c>
      <c r="D209" s="41" t="s">
        <v>773</v>
      </c>
      <c r="E209" s="37">
        <f>Source!AQ86</f>
        <v>10.96</v>
      </c>
      <c r="F209" s="37">
        <f>ROUND(1.15*1.2,7)</f>
        <v>1.38</v>
      </c>
      <c r="G209" s="37">
        <f>ROUND(Source!U86,7)</f>
        <v>13.914816</v>
      </c>
      <c r="H209" s="34"/>
      <c r="I209" s="42"/>
      <c r="J209" s="34"/>
      <c r="K209" s="42"/>
      <c r="L209" s="34"/>
    </row>
    <row r="210" spans="1:12" ht="14.25">
      <c r="A210" s="57"/>
      <c r="B210" s="57"/>
      <c r="C210" s="59" t="s">
        <v>784</v>
      </c>
      <c r="D210" s="43" t="s">
        <v>773</v>
      </c>
      <c r="E210" s="44">
        <f>Source!AR86</f>
        <v>0.9</v>
      </c>
      <c r="F210" s="44">
        <f>ROUND(1.15*1.2,7)</f>
        <v>1.38</v>
      </c>
      <c r="G210" s="44">
        <f>ROUND(Source!V86,7)</f>
        <v>1.14264</v>
      </c>
      <c r="H210" s="45"/>
      <c r="I210" s="46"/>
      <c r="J210" s="45"/>
      <c r="K210" s="46"/>
      <c r="L210" s="45"/>
    </row>
    <row r="211" spans="1:12" ht="14.25">
      <c r="A211" s="57"/>
      <c r="B211" s="57"/>
      <c r="C211" s="57" t="s">
        <v>774</v>
      </c>
      <c r="D211" s="41"/>
      <c r="E211" s="37"/>
      <c r="F211" s="37"/>
      <c r="G211" s="37"/>
      <c r="H211" s="34">
        <f>H205+H206+H208</f>
        <v>324.79999999999995</v>
      </c>
      <c r="I211" s="42"/>
      <c r="J211" s="34">
        <f>J205+J206+J208</f>
        <v>378.59000000000003</v>
      </c>
      <c r="K211" s="42"/>
      <c r="L211" s="34"/>
    </row>
    <row r="212" spans="1:12" ht="14.25">
      <c r="A212" s="57"/>
      <c r="B212" s="57"/>
      <c r="C212" s="57" t="s">
        <v>775</v>
      </c>
      <c r="D212" s="41"/>
      <c r="E212" s="37"/>
      <c r="F212" s="37"/>
      <c r="G212" s="37"/>
      <c r="H212" s="34"/>
      <c r="I212" s="42"/>
      <c r="J212" s="34">
        <f>SUM(Q202:Q215)+SUM(V202:V215)+SUM(X202:X215)+SUM(Y202:Y215)</f>
        <v>137.60000000000002</v>
      </c>
      <c r="K212" s="42"/>
      <c r="L212" s="34">
        <f>SUM(U202:U215)+SUM(W202:W215)+SUM(Z202:Z215)+SUM(AA202:AA215)</f>
        <v>3980.77</v>
      </c>
    </row>
    <row r="213" spans="1:12" ht="28.5">
      <c r="A213" s="57"/>
      <c r="B213" s="57" t="s">
        <v>173</v>
      </c>
      <c r="C213" s="57" t="s">
        <v>816</v>
      </c>
      <c r="D213" s="41" t="s">
        <v>777</v>
      </c>
      <c r="E213" s="37">
        <f>Source!BZ86</f>
        <v>97</v>
      </c>
      <c r="F213" s="37"/>
      <c r="G213" s="37">
        <f>Source!AT86</f>
        <v>97</v>
      </c>
      <c r="H213" s="34"/>
      <c r="I213" s="42"/>
      <c r="J213" s="34">
        <f>SUM(AG202:AG215)</f>
        <v>133.47</v>
      </c>
      <c r="K213" s="42"/>
      <c r="L213" s="34">
        <f>SUM(AH202:AH215)</f>
        <v>3861.35</v>
      </c>
    </row>
    <row r="214" spans="1:12" ht="28.5">
      <c r="A214" s="59"/>
      <c r="B214" s="59" t="s">
        <v>174</v>
      </c>
      <c r="C214" s="59" t="s">
        <v>817</v>
      </c>
      <c r="D214" s="43" t="s">
        <v>777</v>
      </c>
      <c r="E214" s="44">
        <f>Source!CA86</f>
        <v>51</v>
      </c>
      <c r="F214" s="44"/>
      <c r="G214" s="44">
        <f>Source!AU86</f>
        <v>51</v>
      </c>
      <c r="H214" s="45"/>
      <c r="I214" s="46"/>
      <c r="J214" s="45">
        <f>SUM(AI202:AI215)</f>
        <v>70.18</v>
      </c>
      <c r="K214" s="46"/>
      <c r="L214" s="45">
        <f>SUM(AJ202:AJ215)</f>
        <v>2030.19</v>
      </c>
    </row>
    <row r="215" spans="3:53" ht="15">
      <c r="C215" s="102" t="s">
        <v>779</v>
      </c>
      <c r="D215" s="102"/>
      <c r="E215" s="102"/>
      <c r="F215" s="102"/>
      <c r="G215" s="102"/>
      <c r="H215" s="102"/>
      <c r="I215" s="102">
        <f>J205+J206+J208+J213+J214</f>
        <v>582.24</v>
      </c>
      <c r="J215" s="102"/>
      <c r="O215" s="32">
        <f>I215</f>
        <v>582.24</v>
      </c>
      <c r="P215">
        <f>K215</f>
        <v>0</v>
      </c>
      <c r="Q215" s="32">
        <f>J205</f>
        <v>130.11</v>
      </c>
      <c r="R215" s="32">
        <f>J205</f>
        <v>130.11</v>
      </c>
      <c r="U215" s="32">
        <f>L205</f>
        <v>3764.08</v>
      </c>
      <c r="X215" s="32">
        <f>J207</f>
        <v>7.49</v>
      </c>
      <c r="Z215" s="32">
        <f>L207</f>
        <v>216.69</v>
      </c>
      <c r="AB215" s="32">
        <f>J206</f>
        <v>159.61</v>
      </c>
      <c r="AD215" s="32">
        <f>L206</f>
        <v>0</v>
      </c>
      <c r="AF215" s="32">
        <f>J208</f>
        <v>88.87</v>
      </c>
      <c r="AN215">
        <f>IF(Source!BI86&lt;=1,J205+J206+J208+J213+J214,0)</f>
        <v>0</v>
      </c>
      <c r="AO215">
        <f>IF(Source!BI86&lt;=1,J208,0)</f>
        <v>0</v>
      </c>
      <c r="AP215">
        <f>IF(Source!BI86&lt;=1,J206,0)</f>
        <v>0</v>
      </c>
      <c r="AQ215">
        <f>IF(Source!BI86&lt;=1,J205,0)</f>
        <v>0</v>
      </c>
      <c r="AX215">
        <f>IF(Source!BI86=2,J205+J206+J208+J213+J214,0)</f>
        <v>582.24</v>
      </c>
      <c r="AY215">
        <f>IF(Source!BI86=2,J208,0)</f>
        <v>88.87</v>
      </c>
      <c r="AZ215">
        <f>IF(Source!BI86=2,J206,0)</f>
        <v>159.61</v>
      </c>
      <c r="BA215">
        <f>IF(Source!BI86=2,J205,0)</f>
        <v>130.11</v>
      </c>
    </row>
    <row r="216" spans="1:56" ht="119.25">
      <c r="A216" s="57">
        <v>16</v>
      </c>
      <c r="B216" s="57" t="str">
        <f>Source!F87</f>
        <v>м08-02-148-2</v>
      </c>
      <c r="C216" s="57" t="s">
        <v>820</v>
      </c>
      <c r="D216" s="41" t="str">
        <f>Source!H87</f>
        <v>100 м кабеля</v>
      </c>
      <c r="E216" s="37">
        <f>Source!K87</f>
        <v>1</v>
      </c>
      <c r="F216" s="37"/>
      <c r="G216" s="37">
        <f>Source!I87</f>
        <v>1</v>
      </c>
      <c r="H216" s="34"/>
      <c r="I216" s="42"/>
      <c r="J216" s="34"/>
      <c r="K216" s="42"/>
      <c r="L216" s="34"/>
      <c r="AG216">
        <f>Source!X87</f>
        <v>186.73</v>
      </c>
      <c r="AH216">
        <f>Source!HK87</f>
        <v>5402.24</v>
      </c>
      <c r="AI216">
        <f>Source!Y87</f>
        <v>98.18</v>
      </c>
      <c r="AJ216">
        <f>Source!HL87</f>
        <v>2840.35</v>
      </c>
      <c r="AS216">
        <f>IF(Source!BI87&lt;=1,AH216,0)</f>
        <v>0</v>
      </c>
      <c r="AT216">
        <f>IF(Source!BI87&lt;=1,AJ216,0)</f>
        <v>0</v>
      </c>
      <c r="BC216">
        <f>IF(Source!BI87=2,AH216,0)</f>
        <v>5402.24</v>
      </c>
      <c r="BD216">
        <f>IF(Source!BI87=2,AJ216,0)</f>
        <v>2840.35</v>
      </c>
    </row>
    <row r="218" ht="12.75">
      <c r="C218" s="31" t="str">
        <f>"Объем: "&amp;Source!K87&amp;"=100/"&amp;"100"</f>
        <v>Объем: 1=100/100</v>
      </c>
    </row>
    <row r="219" spans="1:12" ht="14.25">
      <c r="A219" s="57"/>
      <c r="B219" s="58">
        <v>1</v>
      </c>
      <c r="C219" s="57" t="s">
        <v>771</v>
      </c>
      <c r="D219" s="41"/>
      <c r="E219" s="37"/>
      <c r="F219" s="37"/>
      <c r="G219" s="37"/>
      <c r="H219" s="34">
        <f>Source!AO87</f>
        <v>136.88</v>
      </c>
      <c r="I219" s="42">
        <f>ROUND(1.2*1.15,7)</f>
        <v>1.38</v>
      </c>
      <c r="J219" s="34">
        <f>ROUND(Source!AF87*Source!I87,2)</f>
        <v>188.89</v>
      </c>
      <c r="K219" s="42">
        <f>IF(Source!BA87&lt;&gt;0,Source!BA87,1)</f>
        <v>28.93</v>
      </c>
      <c r="L219" s="34">
        <f>Source!HJ87</f>
        <v>5464.59</v>
      </c>
    </row>
    <row r="220" spans="1:12" ht="14.25">
      <c r="A220" s="57"/>
      <c r="B220" s="58">
        <v>3</v>
      </c>
      <c r="C220" s="57" t="s">
        <v>782</v>
      </c>
      <c r="D220" s="41"/>
      <c r="E220" s="37"/>
      <c r="F220" s="37"/>
      <c r="G220" s="37"/>
      <c r="H220" s="34">
        <f>Source!AM87</f>
        <v>72.42</v>
      </c>
      <c r="I220" s="42">
        <f>ROUND(1.2*1.15,7)</f>
        <v>1.38</v>
      </c>
      <c r="J220" s="34">
        <f>ROUND(Source!AD87*Source!I87,2)</f>
        <v>99.94</v>
      </c>
      <c r="K220" s="42"/>
      <c r="L220" s="34"/>
    </row>
    <row r="221" spans="1:12" ht="14.25">
      <c r="A221" s="57"/>
      <c r="B221" s="58">
        <v>2</v>
      </c>
      <c r="C221" s="57" t="s">
        <v>783</v>
      </c>
      <c r="D221" s="41"/>
      <c r="E221" s="37"/>
      <c r="F221" s="37"/>
      <c r="G221" s="37"/>
      <c r="H221" s="34">
        <f>Source!AN87</f>
        <v>2.62</v>
      </c>
      <c r="I221" s="42">
        <f>ROUND(1.2*1.15,7)</f>
        <v>1.38</v>
      </c>
      <c r="J221" s="47">
        <f>ROUND(Source!AE87*Source!I87,2)</f>
        <v>3.62</v>
      </c>
      <c r="K221" s="42">
        <f>IF(Source!BS87&lt;&gt;0,Source!BS87,1)</f>
        <v>28.93</v>
      </c>
      <c r="L221" s="47">
        <f>Source!HI87</f>
        <v>104.73</v>
      </c>
    </row>
    <row r="222" spans="1:12" ht="14.25">
      <c r="A222" s="57"/>
      <c r="B222" s="58">
        <v>4</v>
      </c>
      <c r="C222" s="57" t="s">
        <v>793</v>
      </c>
      <c r="D222" s="41"/>
      <c r="E222" s="37"/>
      <c r="F222" s="37"/>
      <c r="G222" s="37"/>
      <c r="H222" s="34">
        <f>Source!AL87</f>
        <v>37.28</v>
      </c>
      <c r="I222" s="42"/>
      <c r="J222" s="34">
        <f>ROUND(Source!AC87*Source!I87,2)</f>
        <v>37.28</v>
      </c>
      <c r="K222" s="42"/>
      <c r="L222" s="34"/>
    </row>
    <row r="223" spans="1:12" ht="14.25">
      <c r="A223" s="57"/>
      <c r="B223" s="57"/>
      <c r="C223" s="57" t="s">
        <v>772</v>
      </c>
      <c r="D223" s="41" t="s">
        <v>773</v>
      </c>
      <c r="E223" s="37">
        <f>Source!AQ87</f>
        <v>14.64</v>
      </c>
      <c r="F223" s="37">
        <f>ROUND(1.2*1.15,7)</f>
        <v>1.38</v>
      </c>
      <c r="G223" s="37">
        <f>ROUND(Source!U87,7)</f>
        <v>20.2032</v>
      </c>
      <c r="H223" s="34"/>
      <c r="I223" s="42"/>
      <c r="J223" s="34"/>
      <c r="K223" s="42"/>
      <c r="L223" s="34"/>
    </row>
    <row r="224" spans="1:12" ht="14.25">
      <c r="A224" s="57"/>
      <c r="B224" s="57"/>
      <c r="C224" s="59" t="s">
        <v>784</v>
      </c>
      <c r="D224" s="43" t="s">
        <v>773</v>
      </c>
      <c r="E224" s="44">
        <f>Source!AR87</f>
        <v>0.4</v>
      </c>
      <c r="F224" s="44">
        <f>ROUND(1.2*1.15,7)</f>
        <v>1.38</v>
      </c>
      <c r="G224" s="44">
        <f>ROUND(Source!V87,7)</f>
        <v>0.552</v>
      </c>
      <c r="H224" s="45"/>
      <c r="I224" s="46"/>
      <c r="J224" s="45"/>
      <c r="K224" s="46"/>
      <c r="L224" s="45"/>
    </row>
    <row r="225" spans="1:12" ht="14.25">
      <c r="A225" s="57"/>
      <c r="B225" s="57"/>
      <c r="C225" s="57" t="s">
        <v>774</v>
      </c>
      <c r="D225" s="41"/>
      <c r="E225" s="37"/>
      <c r="F225" s="37"/>
      <c r="G225" s="37"/>
      <c r="H225" s="34">
        <f>H219+H220+H222</f>
        <v>246.58</v>
      </c>
      <c r="I225" s="42"/>
      <c r="J225" s="34">
        <f>J219+J220+J222</f>
        <v>326.11</v>
      </c>
      <c r="K225" s="42"/>
      <c r="L225" s="34"/>
    </row>
    <row r="226" spans="1:12" ht="14.25">
      <c r="A226" s="57"/>
      <c r="B226" s="57"/>
      <c r="C226" s="57" t="s">
        <v>775</v>
      </c>
      <c r="D226" s="41"/>
      <c r="E226" s="37"/>
      <c r="F226" s="37"/>
      <c r="G226" s="37"/>
      <c r="H226" s="34"/>
      <c r="I226" s="42"/>
      <c r="J226" s="34">
        <f>SUM(Q216:Q229)+SUM(V216:V229)+SUM(X216:X229)+SUM(Y216:Y229)</f>
        <v>192.51</v>
      </c>
      <c r="K226" s="42"/>
      <c r="L226" s="34">
        <f>SUM(U216:U229)+SUM(W216:W229)+SUM(Z216:Z229)+SUM(AA216:AA229)</f>
        <v>5569.32</v>
      </c>
    </row>
    <row r="227" spans="1:12" ht="28.5">
      <c r="A227" s="57"/>
      <c r="B227" s="57" t="s">
        <v>173</v>
      </c>
      <c r="C227" s="57" t="s">
        <v>816</v>
      </c>
      <c r="D227" s="41" t="s">
        <v>777</v>
      </c>
      <c r="E227" s="37">
        <f>Source!BZ87</f>
        <v>97</v>
      </c>
      <c r="F227" s="37"/>
      <c r="G227" s="37">
        <f>Source!AT87</f>
        <v>97</v>
      </c>
      <c r="H227" s="34"/>
      <c r="I227" s="42"/>
      <c r="J227" s="34">
        <f>SUM(AG216:AG229)</f>
        <v>186.73</v>
      </c>
      <c r="K227" s="42"/>
      <c r="L227" s="34">
        <f>SUM(AH216:AH229)</f>
        <v>5402.24</v>
      </c>
    </row>
    <row r="228" spans="1:12" ht="28.5">
      <c r="A228" s="59"/>
      <c r="B228" s="59" t="s">
        <v>174</v>
      </c>
      <c r="C228" s="59" t="s">
        <v>817</v>
      </c>
      <c r="D228" s="43" t="s">
        <v>777</v>
      </c>
      <c r="E228" s="44">
        <f>Source!CA87</f>
        <v>51</v>
      </c>
      <c r="F228" s="44"/>
      <c r="G228" s="44">
        <f>Source!AU87</f>
        <v>51</v>
      </c>
      <c r="H228" s="45"/>
      <c r="I228" s="46"/>
      <c r="J228" s="45">
        <f>SUM(AI216:AI229)</f>
        <v>98.18</v>
      </c>
      <c r="K228" s="46"/>
      <c r="L228" s="45">
        <f>SUM(AJ216:AJ229)</f>
        <v>2840.35</v>
      </c>
    </row>
    <row r="229" spans="3:53" ht="15">
      <c r="C229" s="102" t="s">
        <v>779</v>
      </c>
      <c r="D229" s="102"/>
      <c r="E229" s="102"/>
      <c r="F229" s="102"/>
      <c r="G229" s="102"/>
      <c r="H229" s="102"/>
      <c r="I229" s="102">
        <f>J219+J220+J222+J227+J228</f>
        <v>611.02</v>
      </c>
      <c r="J229" s="102"/>
      <c r="O229" s="32">
        <f>I229</f>
        <v>611.02</v>
      </c>
      <c r="P229">
        <f>K229</f>
        <v>0</v>
      </c>
      <c r="Q229" s="32">
        <f>J219</f>
        <v>188.89</v>
      </c>
      <c r="R229" s="32">
        <f>J219</f>
        <v>188.89</v>
      </c>
      <c r="U229" s="32">
        <f>L219</f>
        <v>5464.59</v>
      </c>
      <c r="X229" s="32">
        <f>J221</f>
        <v>3.62</v>
      </c>
      <c r="Z229" s="32">
        <f>L221</f>
        <v>104.73</v>
      </c>
      <c r="AB229" s="32">
        <f>J220</f>
        <v>99.94</v>
      </c>
      <c r="AD229" s="32">
        <f>L220</f>
        <v>0</v>
      </c>
      <c r="AF229" s="32">
        <f>J222</f>
        <v>37.28</v>
      </c>
      <c r="AN229">
        <f>IF(Source!BI87&lt;=1,J219+J220+J222+J227+J228,0)</f>
        <v>0</v>
      </c>
      <c r="AO229">
        <f>IF(Source!BI87&lt;=1,J222,0)</f>
        <v>0</v>
      </c>
      <c r="AP229">
        <f>IF(Source!BI87&lt;=1,J220,0)</f>
        <v>0</v>
      </c>
      <c r="AQ229">
        <f>IF(Source!BI87&lt;=1,J219,0)</f>
        <v>0</v>
      </c>
      <c r="AX229">
        <f>IF(Source!BI87=2,J219+J220+J222+J227+J228,0)</f>
        <v>611.02</v>
      </c>
      <c r="AY229">
        <f>IF(Source!BI87=2,J222,0)</f>
        <v>37.28</v>
      </c>
      <c r="AZ229">
        <f>IF(Source!BI87=2,J220,0)</f>
        <v>99.94</v>
      </c>
      <c r="BA229">
        <f>IF(Source!BI87=2,J219,0)</f>
        <v>188.89</v>
      </c>
    </row>
    <row r="230" spans="1:56" ht="133.5">
      <c r="A230" s="57">
        <v>17</v>
      </c>
      <c r="B230" s="57" t="str">
        <f>Source!F88</f>
        <v>м08-02-147-11</v>
      </c>
      <c r="C230" s="57" t="s">
        <v>821</v>
      </c>
      <c r="D230" s="41" t="str">
        <f>Source!H88</f>
        <v>100 м кабеля</v>
      </c>
      <c r="E230" s="37">
        <f>Source!K88</f>
        <v>0.03</v>
      </c>
      <c r="F230" s="37"/>
      <c r="G230" s="37">
        <f>Source!I88</f>
        <v>0.03</v>
      </c>
      <c r="H230" s="34"/>
      <c r="I230" s="42"/>
      <c r="J230" s="34"/>
      <c r="K230" s="42"/>
      <c r="L230" s="34"/>
      <c r="AG230">
        <f>Source!X88</f>
        <v>6.45</v>
      </c>
      <c r="AH230">
        <f>Source!HK88</f>
        <v>186.61</v>
      </c>
      <c r="AI230">
        <f>Source!Y88</f>
        <v>3.39</v>
      </c>
      <c r="AJ230">
        <f>Source!HL88</f>
        <v>98.11</v>
      </c>
      <c r="AS230">
        <f>IF(Source!BI88&lt;=1,AH230,0)</f>
        <v>0</v>
      </c>
      <c r="AT230">
        <f>IF(Source!BI88&lt;=1,AJ230,0)</f>
        <v>0</v>
      </c>
      <c r="BC230">
        <f>IF(Source!BI88=2,AH230,0)</f>
        <v>186.61</v>
      </c>
      <c r="BD230">
        <f>IF(Source!BI88=2,AJ230,0)</f>
        <v>98.11</v>
      </c>
    </row>
    <row r="232" ht="12.75">
      <c r="C232" s="31" t="str">
        <f>"Объем: "&amp;Source!K88&amp;"=3/"&amp;"100"</f>
        <v>Объем: 0,03=3/100</v>
      </c>
    </row>
    <row r="233" spans="1:12" ht="14.25">
      <c r="A233" s="57"/>
      <c r="B233" s="58">
        <v>1</v>
      </c>
      <c r="C233" s="57" t="s">
        <v>771</v>
      </c>
      <c r="D233" s="41"/>
      <c r="E233" s="37"/>
      <c r="F233" s="37"/>
      <c r="G233" s="37"/>
      <c r="H233" s="34">
        <f>Source!AO88</f>
        <v>161.57</v>
      </c>
      <c r="I233" s="42">
        <f>ROUND(1.35,7)</f>
        <v>1.35</v>
      </c>
      <c r="J233" s="34">
        <f>ROUND(Source!AF88*Source!I88,2)</f>
        <v>6.54</v>
      </c>
      <c r="K233" s="42">
        <f>IF(Source!BA88&lt;&gt;0,Source!BA88,1)</f>
        <v>28.93</v>
      </c>
      <c r="L233" s="34">
        <f>Source!HJ88</f>
        <v>189.2</v>
      </c>
    </row>
    <row r="234" spans="1:12" ht="14.25">
      <c r="A234" s="57"/>
      <c r="B234" s="58">
        <v>3</v>
      </c>
      <c r="C234" s="57" t="s">
        <v>782</v>
      </c>
      <c r="D234" s="41"/>
      <c r="E234" s="37"/>
      <c r="F234" s="37"/>
      <c r="G234" s="37"/>
      <c r="H234" s="34">
        <f>Source!AM88</f>
        <v>77.17</v>
      </c>
      <c r="I234" s="42">
        <f>ROUND(1.35,7)</f>
        <v>1.35</v>
      </c>
      <c r="J234" s="34">
        <f>ROUND(Source!AD88*Source!I88,2)</f>
        <v>3.13</v>
      </c>
      <c r="K234" s="42"/>
      <c r="L234" s="34"/>
    </row>
    <row r="235" spans="1:12" ht="14.25">
      <c r="A235" s="57"/>
      <c r="B235" s="58">
        <v>2</v>
      </c>
      <c r="C235" s="57" t="s">
        <v>783</v>
      </c>
      <c r="D235" s="41"/>
      <c r="E235" s="37"/>
      <c r="F235" s="37"/>
      <c r="G235" s="37"/>
      <c r="H235" s="34">
        <f>Source!AN88</f>
        <v>2.62</v>
      </c>
      <c r="I235" s="42">
        <f>ROUND(1.35,7)</f>
        <v>1.35</v>
      </c>
      <c r="J235" s="47">
        <f>ROUND(Source!AE88*Source!I88,2)</f>
        <v>0.11</v>
      </c>
      <c r="K235" s="42">
        <f>IF(Source!BS88&lt;&gt;0,Source!BS88,1)</f>
        <v>28.93</v>
      </c>
      <c r="L235" s="47">
        <f>Source!HI88</f>
        <v>3.18</v>
      </c>
    </row>
    <row r="236" spans="1:12" ht="14.25">
      <c r="A236" s="57"/>
      <c r="B236" s="58">
        <v>4</v>
      </c>
      <c r="C236" s="57" t="s">
        <v>793</v>
      </c>
      <c r="D236" s="41"/>
      <c r="E236" s="37"/>
      <c r="F236" s="37"/>
      <c r="G236" s="37"/>
      <c r="H236" s="34">
        <f>Source!AL88</f>
        <v>39.17</v>
      </c>
      <c r="I236" s="42"/>
      <c r="J236" s="34">
        <f>ROUND(Source!AC88*Source!I88,2)</f>
        <v>1.18</v>
      </c>
      <c r="K236" s="42"/>
      <c r="L236" s="34"/>
    </row>
    <row r="237" spans="1:12" ht="14.25">
      <c r="A237" s="57"/>
      <c r="B237" s="57"/>
      <c r="C237" s="57" t="s">
        <v>772</v>
      </c>
      <c r="D237" s="41" t="s">
        <v>773</v>
      </c>
      <c r="E237" s="37">
        <f>Source!AQ88</f>
        <v>17.28</v>
      </c>
      <c r="F237" s="37">
        <f>ROUND(1.35,7)</f>
        <v>1.35</v>
      </c>
      <c r="G237" s="37">
        <f>ROUND(Source!U88,7)</f>
        <v>0.69984</v>
      </c>
      <c r="H237" s="34"/>
      <c r="I237" s="42"/>
      <c r="J237" s="34"/>
      <c r="K237" s="42"/>
      <c r="L237" s="34"/>
    </row>
    <row r="238" spans="1:12" ht="14.25">
      <c r="A238" s="57"/>
      <c r="B238" s="57"/>
      <c r="C238" s="59" t="s">
        <v>784</v>
      </c>
      <c r="D238" s="43" t="s">
        <v>773</v>
      </c>
      <c r="E238" s="44">
        <f>Source!AR88</f>
        <v>0.4</v>
      </c>
      <c r="F238" s="44">
        <f>ROUND(1.35,7)</f>
        <v>1.35</v>
      </c>
      <c r="G238" s="44">
        <f>ROUND(Source!V88,7)</f>
        <v>0.0162</v>
      </c>
      <c r="H238" s="45"/>
      <c r="I238" s="46"/>
      <c r="J238" s="45"/>
      <c r="K238" s="46"/>
      <c r="L238" s="45"/>
    </row>
    <row r="239" spans="1:12" ht="14.25">
      <c r="A239" s="57"/>
      <c r="B239" s="57"/>
      <c r="C239" s="57" t="s">
        <v>774</v>
      </c>
      <c r="D239" s="41"/>
      <c r="E239" s="37"/>
      <c r="F239" s="37"/>
      <c r="G239" s="37"/>
      <c r="H239" s="34">
        <f>H233+H234+H236</f>
        <v>277.91</v>
      </c>
      <c r="I239" s="42"/>
      <c r="J239" s="34">
        <f>J233+J234+J236</f>
        <v>10.85</v>
      </c>
      <c r="K239" s="42"/>
      <c r="L239" s="34"/>
    </row>
    <row r="240" spans="1:12" ht="14.25">
      <c r="A240" s="57"/>
      <c r="B240" s="57"/>
      <c r="C240" s="57" t="s">
        <v>775</v>
      </c>
      <c r="D240" s="41"/>
      <c r="E240" s="37"/>
      <c r="F240" s="37"/>
      <c r="G240" s="37"/>
      <c r="H240" s="34"/>
      <c r="I240" s="42"/>
      <c r="J240" s="34">
        <f>SUM(Q230:Q243)+SUM(V230:V243)+SUM(X230:X243)+SUM(Y230:Y243)</f>
        <v>6.65</v>
      </c>
      <c r="K240" s="42"/>
      <c r="L240" s="34">
        <f>SUM(U230:U243)+SUM(W230:W243)+SUM(Z230:Z243)+SUM(AA230:AA243)</f>
        <v>192.38</v>
      </c>
    </row>
    <row r="241" spans="1:12" ht="28.5">
      <c r="A241" s="57"/>
      <c r="B241" s="57" t="s">
        <v>173</v>
      </c>
      <c r="C241" s="57" t="s">
        <v>816</v>
      </c>
      <c r="D241" s="41" t="s">
        <v>777</v>
      </c>
      <c r="E241" s="37">
        <f>Source!BZ88</f>
        <v>97</v>
      </c>
      <c r="F241" s="37"/>
      <c r="G241" s="37">
        <f>Source!AT88</f>
        <v>97</v>
      </c>
      <c r="H241" s="34"/>
      <c r="I241" s="42"/>
      <c r="J241" s="34">
        <f>SUM(AG230:AG243)</f>
        <v>6.45</v>
      </c>
      <c r="K241" s="42"/>
      <c r="L241" s="34">
        <f>SUM(AH230:AH243)</f>
        <v>186.61</v>
      </c>
    </row>
    <row r="242" spans="1:12" ht="28.5">
      <c r="A242" s="59"/>
      <c r="B242" s="59" t="s">
        <v>174</v>
      </c>
      <c r="C242" s="59" t="s">
        <v>817</v>
      </c>
      <c r="D242" s="43" t="s">
        <v>777</v>
      </c>
      <c r="E242" s="44">
        <f>Source!CA88</f>
        <v>51</v>
      </c>
      <c r="F242" s="44"/>
      <c r="G242" s="44">
        <f>Source!AU88</f>
        <v>51</v>
      </c>
      <c r="H242" s="45"/>
      <c r="I242" s="46"/>
      <c r="J242" s="45">
        <f>SUM(AI230:AI243)</f>
        <v>3.39</v>
      </c>
      <c r="K242" s="46"/>
      <c r="L242" s="45">
        <f>SUM(AJ230:AJ243)</f>
        <v>98.11</v>
      </c>
    </row>
    <row r="243" spans="3:53" ht="15">
      <c r="C243" s="102" t="s">
        <v>779</v>
      </c>
      <c r="D243" s="102"/>
      <c r="E243" s="102"/>
      <c r="F243" s="102"/>
      <c r="G243" s="102"/>
      <c r="H243" s="102"/>
      <c r="I243" s="102">
        <f>J233+J234+J236+J241+J242</f>
        <v>20.69</v>
      </c>
      <c r="J243" s="102"/>
      <c r="O243" s="32">
        <f>I243</f>
        <v>20.69</v>
      </c>
      <c r="P243">
        <f>K243</f>
        <v>0</v>
      </c>
      <c r="Q243" s="32">
        <f>J233</f>
        <v>6.54</v>
      </c>
      <c r="R243" s="32">
        <f>J233</f>
        <v>6.54</v>
      </c>
      <c r="U243" s="32">
        <f>L233</f>
        <v>189.2</v>
      </c>
      <c r="X243" s="32">
        <f>J235</f>
        <v>0.11</v>
      </c>
      <c r="Z243" s="32">
        <f>L235</f>
        <v>3.18</v>
      </c>
      <c r="AB243" s="32">
        <f>J234</f>
        <v>3.13</v>
      </c>
      <c r="AD243" s="32">
        <f>L234</f>
        <v>0</v>
      </c>
      <c r="AF243" s="32">
        <f>J236</f>
        <v>1.18</v>
      </c>
      <c r="AN243">
        <f>IF(Source!BI88&lt;=1,J233+J234+J236+J241+J242,0)</f>
        <v>0</v>
      </c>
      <c r="AO243">
        <f>IF(Source!BI88&lt;=1,J236,0)</f>
        <v>0</v>
      </c>
      <c r="AP243">
        <f>IF(Source!BI88&lt;=1,J234,0)</f>
        <v>0</v>
      </c>
      <c r="AQ243">
        <f>IF(Source!BI88&lt;=1,J233,0)</f>
        <v>0</v>
      </c>
      <c r="AX243">
        <f>IF(Source!BI88=2,J233+J234+J236+J241+J242,0)</f>
        <v>20.69</v>
      </c>
      <c r="AY243">
        <f>IF(Source!BI88=2,J236,0)</f>
        <v>1.18</v>
      </c>
      <c r="AZ243">
        <f>IF(Source!BI88=2,J234,0)</f>
        <v>3.13</v>
      </c>
      <c r="BA243">
        <f>IF(Source!BI88=2,J233,0)</f>
        <v>6.54</v>
      </c>
    </row>
    <row r="244" spans="1:56" ht="119.25">
      <c r="A244" s="57">
        <v>18</v>
      </c>
      <c r="B244" s="57" t="str">
        <f>Source!F89</f>
        <v>м08-02-145-2</v>
      </c>
      <c r="C244" s="57" t="s">
        <v>822</v>
      </c>
      <c r="D244" s="41" t="str">
        <f>Source!H89</f>
        <v>100 м кабеля</v>
      </c>
      <c r="E244" s="37">
        <f>Source!K89</f>
        <v>0.05</v>
      </c>
      <c r="F244" s="37"/>
      <c r="G244" s="37">
        <f>Source!I89</f>
        <v>0.05</v>
      </c>
      <c r="H244" s="34"/>
      <c r="I244" s="42"/>
      <c r="J244" s="34"/>
      <c r="K244" s="42"/>
      <c r="L244" s="34"/>
      <c r="AG244">
        <f>Source!X89</f>
        <v>4.23</v>
      </c>
      <c r="AH244">
        <f>Source!HK89</f>
        <v>122.36</v>
      </c>
      <c r="AI244">
        <f>Source!Y89</f>
        <v>2.22</v>
      </c>
      <c r="AJ244">
        <f>Source!HL89</f>
        <v>64.33</v>
      </c>
      <c r="AS244">
        <f>IF(Source!BI89&lt;=1,AH244,0)</f>
        <v>0</v>
      </c>
      <c r="AT244">
        <f>IF(Source!BI89&lt;=1,AJ244,0)</f>
        <v>0</v>
      </c>
      <c r="BC244">
        <f>IF(Source!BI89=2,AH244,0)</f>
        <v>122.36</v>
      </c>
      <c r="BD244">
        <f>IF(Source!BI89=2,AJ244,0)</f>
        <v>64.33</v>
      </c>
    </row>
    <row r="246" ht="12.75">
      <c r="C246" s="31" t="str">
        <f>"Объем: "&amp;Source!K89&amp;"=5/"&amp;"100"</f>
        <v>Объем: 0,05=5/100</v>
      </c>
    </row>
    <row r="247" spans="1:12" ht="14.25">
      <c r="A247" s="57"/>
      <c r="B247" s="58">
        <v>1</v>
      </c>
      <c r="C247" s="57" t="s">
        <v>771</v>
      </c>
      <c r="D247" s="41"/>
      <c r="E247" s="37"/>
      <c r="F247" s="37"/>
      <c r="G247" s="37"/>
      <c r="H247" s="34">
        <f>Source!AO89</f>
        <v>61.99</v>
      </c>
      <c r="I247" s="42">
        <f>ROUND(1.35,7)</f>
        <v>1.35</v>
      </c>
      <c r="J247" s="34">
        <f>ROUND(Source!AF89*Source!I89,2)</f>
        <v>4.18</v>
      </c>
      <c r="K247" s="42">
        <f>IF(Source!BA89&lt;&gt;0,Source!BA89,1)</f>
        <v>28.93</v>
      </c>
      <c r="L247" s="34">
        <f>Source!HJ89</f>
        <v>120.93</v>
      </c>
    </row>
    <row r="248" spans="1:12" ht="14.25">
      <c r="A248" s="57"/>
      <c r="B248" s="58">
        <v>3</v>
      </c>
      <c r="C248" s="57" t="s">
        <v>782</v>
      </c>
      <c r="D248" s="41"/>
      <c r="E248" s="37"/>
      <c r="F248" s="37"/>
      <c r="G248" s="37"/>
      <c r="H248" s="34">
        <f>Source!AM89</f>
        <v>58.53</v>
      </c>
      <c r="I248" s="42">
        <f>ROUND(1.35,7)</f>
        <v>1.35</v>
      </c>
      <c r="J248" s="34">
        <f>ROUND(Source!AD89*Source!I89,2)</f>
        <v>3.95</v>
      </c>
      <c r="K248" s="42"/>
      <c r="L248" s="34"/>
    </row>
    <row r="249" spans="1:12" ht="14.25">
      <c r="A249" s="57"/>
      <c r="B249" s="58">
        <v>2</v>
      </c>
      <c r="C249" s="57" t="s">
        <v>783</v>
      </c>
      <c r="D249" s="41"/>
      <c r="E249" s="37"/>
      <c r="F249" s="37"/>
      <c r="G249" s="37"/>
      <c r="H249" s="34">
        <f>Source!AN89</f>
        <v>2.62</v>
      </c>
      <c r="I249" s="42">
        <f>ROUND(1.35,7)</f>
        <v>1.35</v>
      </c>
      <c r="J249" s="47">
        <f>ROUND(Source!AE89*Source!I89,2)</f>
        <v>0.18</v>
      </c>
      <c r="K249" s="42">
        <f>IF(Source!BS89&lt;&gt;0,Source!BS89,1)</f>
        <v>28.93</v>
      </c>
      <c r="L249" s="47">
        <f>Source!HI89</f>
        <v>5.21</v>
      </c>
    </row>
    <row r="250" spans="1:12" ht="14.25">
      <c r="A250" s="57"/>
      <c r="B250" s="58">
        <v>4</v>
      </c>
      <c r="C250" s="57" t="s">
        <v>793</v>
      </c>
      <c r="D250" s="41"/>
      <c r="E250" s="37"/>
      <c r="F250" s="37"/>
      <c r="G250" s="37"/>
      <c r="H250" s="34">
        <f>Source!AL89</f>
        <v>45.75</v>
      </c>
      <c r="I250" s="42"/>
      <c r="J250" s="34">
        <f>ROUND(Source!AC89*Source!I89,2)</f>
        <v>2.29</v>
      </c>
      <c r="K250" s="42"/>
      <c r="L250" s="34"/>
    </row>
    <row r="251" spans="1:12" ht="14.25">
      <c r="A251" s="57"/>
      <c r="B251" s="57"/>
      <c r="C251" s="57" t="s">
        <v>772</v>
      </c>
      <c r="D251" s="41" t="s">
        <v>773</v>
      </c>
      <c r="E251" s="37">
        <f>Source!AQ89</f>
        <v>6.63</v>
      </c>
      <c r="F251" s="37">
        <f>ROUND(1.35,7)</f>
        <v>1.35</v>
      </c>
      <c r="G251" s="37">
        <f>ROUND(Source!U89,7)</f>
        <v>0.447525</v>
      </c>
      <c r="H251" s="34"/>
      <c r="I251" s="42"/>
      <c r="J251" s="34"/>
      <c r="K251" s="42"/>
      <c r="L251" s="34"/>
    </row>
    <row r="252" spans="1:12" ht="14.25">
      <c r="A252" s="57"/>
      <c r="B252" s="57"/>
      <c r="C252" s="59" t="s">
        <v>784</v>
      </c>
      <c r="D252" s="43" t="s">
        <v>773</v>
      </c>
      <c r="E252" s="44">
        <f>Source!AR89</f>
        <v>0.4</v>
      </c>
      <c r="F252" s="44">
        <f>ROUND(1.35,7)</f>
        <v>1.35</v>
      </c>
      <c r="G252" s="44">
        <f>ROUND(Source!V89,7)</f>
        <v>0.027</v>
      </c>
      <c r="H252" s="45"/>
      <c r="I252" s="46"/>
      <c r="J252" s="45"/>
      <c r="K252" s="46"/>
      <c r="L252" s="45"/>
    </row>
    <row r="253" spans="1:12" ht="14.25">
      <c r="A253" s="57"/>
      <c r="B253" s="57"/>
      <c r="C253" s="57" t="s">
        <v>774</v>
      </c>
      <c r="D253" s="41"/>
      <c r="E253" s="37"/>
      <c r="F253" s="37"/>
      <c r="G253" s="37"/>
      <c r="H253" s="34">
        <f>H247+H248+H250</f>
        <v>166.27</v>
      </c>
      <c r="I253" s="42"/>
      <c r="J253" s="34">
        <f>J247+J248+J250</f>
        <v>10.419999999999998</v>
      </c>
      <c r="K253" s="42"/>
      <c r="L253" s="34"/>
    </row>
    <row r="254" spans="1:12" ht="14.25">
      <c r="A254" s="57"/>
      <c r="B254" s="57"/>
      <c r="C254" s="57" t="s">
        <v>775</v>
      </c>
      <c r="D254" s="41"/>
      <c r="E254" s="37"/>
      <c r="F254" s="37"/>
      <c r="G254" s="37"/>
      <c r="H254" s="34"/>
      <c r="I254" s="42"/>
      <c r="J254" s="34">
        <f>SUM(Q244:Q257)+SUM(V244:V257)+SUM(X244:X257)+SUM(Y244:Y257)</f>
        <v>4.359999999999999</v>
      </c>
      <c r="K254" s="42"/>
      <c r="L254" s="34">
        <f>SUM(U244:U257)+SUM(W244:W257)+SUM(Z244:Z257)+SUM(AA244:AA257)</f>
        <v>126.14</v>
      </c>
    </row>
    <row r="255" spans="1:12" ht="28.5">
      <c r="A255" s="57"/>
      <c r="B255" s="57" t="s">
        <v>173</v>
      </c>
      <c r="C255" s="57" t="s">
        <v>816</v>
      </c>
      <c r="D255" s="41" t="s">
        <v>777</v>
      </c>
      <c r="E255" s="37">
        <f>Source!BZ89</f>
        <v>97</v>
      </c>
      <c r="F255" s="37"/>
      <c r="G255" s="37">
        <f>Source!AT89</f>
        <v>97</v>
      </c>
      <c r="H255" s="34"/>
      <c r="I255" s="42"/>
      <c r="J255" s="34">
        <f>SUM(AG244:AG257)</f>
        <v>4.23</v>
      </c>
      <c r="K255" s="42"/>
      <c r="L255" s="34">
        <f>SUM(AH244:AH257)</f>
        <v>122.36</v>
      </c>
    </row>
    <row r="256" spans="1:12" ht="28.5">
      <c r="A256" s="59"/>
      <c r="B256" s="59" t="s">
        <v>174</v>
      </c>
      <c r="C256" s="59" t="s">
        <v>817</v>
      </c>
      <c r="D256" s="43" t="s">
        <v>777</v>
      </c>
      <c r="E256" s="44">
        <f>Source!CA89</f>
        <v>51</v>
      </c>
      <c r="F256" s="44"/>
      <c r="G256" s="44">
        <f>Source!AU89</f>
        <v>51</v>
      </c>
      <c r="H256" s="45"/>
      <c r="I256" s="46"/>
      <c r="J256" s="45">
        <f>SUM(AI244:AI257)</f>
        <v>2.22</v>
      </c>
      <c r="K256" s="46"/>
      <c r="L256" s="45">
        <f>SUM(AJ244:AJ257)</f>
        <v>64.33</v>
      </c>
    </row>
    <row r="257" spans="3:53" ht="15">
      <c r="C257" s="102" t="s">
        <v>779</v>
      </c>
      <c r="D257" s="102"/>
      <c r="E257" s="102"/>
      <c r="F257" s="102"/>
      <c r="G257" s="102"/>
      <c r="H257" s="102"/>
      <c r="I257" s="102">
        <f>J247+J248+J250+J255+J256</f>
        <v>16.869999999999997</v>
      </c>
      <c r="J257" s="102"/>
      <c r="O257" s="32">
        <f>I257</f>
        <v>16.869999999999997</v>
      </c>
      <c r="P257">
        <f>K257</f>
        <v>0</v>
      </c>
      <c r="Q257" s="32">
        <f>J247</f>
        <v>4.18</v>
      </c>
      <c r="R257" s="32">
        <f>J247</f>
        <v>4.18</v>
      </c>
      <c r="U257" s="32">
        <f>L247</f>
        <v>120.93</v>
      </c>
      <c r="X257" s="32">
        <f>J249</f>
        <v>0.18</v>
      </c>
      <c r="Z257" s="32">
        <f>L249</f>
        <v>5.21</v>
      </c>
      <c r="AB257" s="32">
        <f>J248</f>
        <v>3.95</v>
      </c>
      <c r="AD257" s="32">
        <f>L248</f>
        <v>0</v>
      </c>
      <c r="AF257" s="32">
        <f>J250</f>
        <v>2.29</v>
      </c>
      <c r="AN257">
        <f>IF(Source!BI89&lt;=1,J247+J248+J250+J255+J256,0)</f>
        <v>0</v>
      </c>
      <c r="AO257">
        <f>IF(Source!BI89&lt;=1,J250,0)</f>
        <v>0</v>
      </c>
      <c r="AP257">
        <f>IF(Source!BI89&lt;=1,J248,0)</f>
        <v>0</v>
      </c>
      <c r="AQ257">
        <f>IF(Source!BI89&lt;=1,J247,0)</f>
        <v>0</v>
      </c>
      <c r="AX257">
        <f>IF(Source!BI89=2,J247+J248+J250+J255+J256,0)</f>
        <v>16.869999999999997</v>
      </c>
      <c r="AY257">
        <f>IF(Source!BI89=2,J250,0)</f>
        <v>2.29</v>
      </c>
      <c r="AZ257">
        <f>IF(Source!BI89=2,J248,0)</f>
        <v>3.95</v>
      </c>
      <c r="BA257">
        <f>IF(Source!BI89=2,J247,0)</f>
        <v>4.18</v>
      </c>
    </row>
    <row r="258" spans="1:56" ht="105">
      <c r="A258" s="57">
        <v>19</v>
      </c>
      <c r="B258" s="57" t="str">
        <f>Source!F90</f>
        <v>м08-02-157-1</v>
      </c>
      <c r="C258" s="57" t="s">
        <v>823</v>
      </c>
      <c r="D258" s="41" t="str">
        <f>Source!H90</f>
        <v>100 м кабеля</v>
      </c>
      <c r="E258" s="37">
        <f>Source!K90</f>
        <v>0.05</v>
      </c>
      <c r="F258" s="37"/>
      <c r="G258" s="37">
        <f>Source!I90</f>
        <v>0.05</v>
      </c>
      <c r="H258" s="34"/>
      <c r="I258" s="42"/>
      <c r="J258" s="34"/>
      <c r="K258" s="42"/>
      <c r="L258" s="34"/>
      <c r="AG258">
        <f>Source!X90</f>
        <v>0.78</v>
      </c>
      <c r="AH258">
        <f>Source!HK90</f>
        <v>22.45</v>
      </c>
      <c r="AI258">
        <f>Source!Y90</f>
        <v>0.41</v>
      </c>
      <c r="AJ258">
        <f>Source!HL90</f>
        <v>11.8</v>
      </c>
      <c r="AS258">
        <f>IF(Source!BI90&lt;=1,AH258,0)</f>
        <v>0</v>
      </c>
      <c r="AT258">
        <f>IF(Source!BI90&lt;=1,AJ258,0)</f>
        <v>0</v>
      </c>
      <c r="BC258">
        <f>IF(Source!BI90=2,AH258,0)</f>
        <v>22.45</v>
      </c>
      <c r="BD258">
        <f>IF(Source!BI90=2,AJ258,0)</f>
        <v>11.8</v>
      </c>
    </row>
    <row r="260" ht="12.75">
      <c r="C260" s="31" t="str">
        <f>"Объем: "&amp;Source!K90&amp;"=5/"&amp;"100"</f>
        <v>Объем: 0,05=5/100</v>
      </c>
    </row>
    <row r="261" spans="1:12" ht="14.25">
      <c r="A261" s="57"/>
      <c r="B261" s="58">
        <v>1</v>
      </c>
      <c r="C261" s="57" t="s">
        <v>771</v>
      </c>
      <c r="D261" s="41"/>
      <c r="E261" s="37"/>
      <c r="F261" s="37"/>
      <c r="G261" s="37"/>
      <c r="H261" s="34">
        <f>Source!AO90</f>
        <v>11.78</v>
      </c>
      <c r="I261" s="42">
        <f>ROUND(1.35,7)</f>
        <v>1.35</v>
      </c>
      <c r="J261" s="34">
        <f>ROUND(Source!AF90*Source!I90,2)</f>
        <v>0.8</v>
      </c>
      <c r="K261" s="42">
        <f>IF(Source!BA90&lt;&gt;0,Source!BA90,1)</f>
        <v>28.93</v>
      </c>
      <c r="L261" s="34">
        <f>Source!HJ90</f>
        <v>23.14</v>
      </c>
    </row>
    <row r="262" spans="1:12" ht="14.25">
      <c r="A262" s="57"/>
      <c r="B262" s="58">
        <v>4</v>
      </c>
      <c r="C262" s="57" t="s">
        <v>793</v>
      </c>
      <c r="D262" s="41"/>
      <c r="E262" s="37"/>
      <c r="F262" s="37"/>
      <c r="G262" s="37"/>
      <c r="H262" s="34">
        <f>Source!AL90</f>
        <v>0.24</v>
      </c>
      <c r="I262" s="42"/>
      <c r="J262" s="34">
        <f>ROUND(Source!AC90*Source!I90,2)</f>
        <v>0.01</v>
      </c>
      <c r="K262" s="42"/>
      <c r="L262" s="34"/>
    </row>
    <row r="263" spans="1:12" ht="14.25">
      <c r="A263" s="57"/>
      <c r="B263" s="57"/>
      <c r="C263" s="59" t="s">
        <v>772</v>
      </c>
      <c r="D263" s="43" t="s">
        <v>773</v>
      </c>
      <c r="E263" s="44">
        <f>Source!AQ90</f>
        <v>1.26</v>
      </c>
      <c r="F263" s="44">
        <f>ROUND(1.35,7)</f>
        <v>1.35</v>
      </c>
      <c r="G263" s="44">
        <f>ROUND(Source!U90,7)</f>
        <v>0.08505</v>
      </c>
      <c r="H263" s="45"/>
      <c r="I263" s="46"/>
      <c r="J263" s="45"/>
      <c r="K263" s="46"/>
      <c r="L263" s="45"/>
    </row>
    <row r="264" spans="1:12" ht="14.25">
      <c r="A264" s="57"/>
      <c r="B264" s="57"/>
      <c r="C264" s="57" t="s">
        <v>774</v>
      </c>
      <c r="D264" s="41"/>
      <c r="E264" s="37"/>
      <c r="F264" s="37"/>
      <c r="G264" s="37"/>
      <c r="H264" s="34">
        <f>H261+H262</f>
        <v>12.02</v>
      </c>
      <c r="I264" s="42"/>
      <c r="J264" s="34">
        <f>J261+J262</f>
        <v>0.81</v>
      </c>
      <c r="K264" s="42"/>
      <c r="L264" s="34"/>
    </row>
    <row r="265" spans="1:12" ht="14.25">
      <c r="A265" s="57"/>
      <c r="B265" s="57"/>
      <c r="C265" s="57" t="s">
        <v>775</v>
      </c>
      <c r="D265" s="41"/>
      <c r="E265" s="37"/>
      <c r="F265" s="37"/>
      <c r="G265" s="37"/>
      <c r="H265" s="34"/>
      <c r="I265" s="42"/>
      <c r="J265" s="34">
        <f>SUM(Q258:Q268)+SUM(V258:V268)+SUM(X258:X268)+SUM(Y258:Y268)</f>
        <v>0.8</v>
      </c>
      <c r="K265" s="42"/>
      <c r="L265" s="34">
        <f>SUM(U258:U268)+SUM(W258:W268)+SUM(Z258:Z268)+SUM(AA258:AA268)</f>
        <v>23.14</v>
      </c>
    </row>
    <row r="266" spans="1:12" ht="28.5">
      <c r="A266" s="57"/>
      <c r="B266" s="57" t="s">
        <v>173</v>
      </c>
      <c r="C266" s="57" t="s">
        <v>816</v>
      </c>
      <c r="D266" s="41" t="s">
        <v>777</v>
      </c>
      <c r="E266" s="37">
        <f>Source!BZ90</f>
        <v>97</v>
      </c>
      <c r="F266" s="37"/>
      <c r="G266" s="37">
        <f>Source!AT90</f>
        <v>97</v>
      </c>
      <c r="H266" s="34"/>
      <c r="I266" s="42"/>
      <c r="J266" s="34">
        <f>SUM(AG258:AG268)</f>
        <v>0.78</v>
      </c>
      <c r="K266" s="42"/>
      <c r="L266" s="34">
        <f>SUM(AH258:AH268)</f>
        <v>22.45</v>
      </c>
    </row>
    <row r="267" spans="1:12" ht="28.5">
      <c r="A267" s="59"/>
      <c r="B267" s="59" t="s">
        <v>174</v>
      </c>
      <c r="C267" s="59" t="s">
        <v>817</v>
      </c>
      <c r="D267" s="43" t="s">
        <v>777</v>
      </c>
      <c r="E267" s="44">
        <f>Source!CA90</f>
        <v>51</v>
      </c>
      <c r="F267" s="44"/>
      <c r="G267" s="44">
        <f>Source!AU90</f>
        <v>51</v>
      </c>
      <c r="H267" s="45"/>
      <c r="I267" s="46"/>
      <c r="J267" s="45">
        <f>SUM(AI258:AI268)</f>
        <v>0.41</v>
      </c>
      <c r="K267" s="46"/>
      <c r="L267" s="45">
        <f>SUM(AJ258:AJ268)</f>
        <v>11.8</v>
      </c>
    </row>
    <row r="268" spans="3:53" ht="15">
      <c r="C268" s="102" t="s">
        <v>779</v>
      </c>
      <c r="D268" s="102"/>
      <c r="E268" s="102"/>
      <c r="F268" s="102"/>
      <c r="G268" s="102"/>
      <c r="H268" s="102"/>
      <c r="I268" s="102">
        <f>J261+J262+J266+J267</f>
        <v>2</v>
      </c>
      <c r="J268" s="102"/>
      <c r="O268" s="32">
        <f>I268</f>
        <v>2</v>
      </c>
      <c r="P268">
        <f>K268</f>
        <v>0</v>
      </c>
      <c r="Q268" s="32">
        <f>J261</f>
        <v>0.8</v>
      </c>
      <c r="R268" s="32">
        <f>J261</f>
        <v>0.8</v>
      </c>
      <c r="U268" s="32">
        <f>L261</f>
        <v>23.14</v>
      </c>
      <c r="X268">
        <f>0</f>
        <v>0</v>
      </c>
      <c r="Z268">
        <f>0</f>
        <v>0</v>
      </c>
      <c r="AB268">
        <f>0</f>
        <v>0</v>
      </c>
      <c r="AD268">
        <f>0</f>
        <v>0</v>
      </c>
      <c r="AF268" s="32">
        <f>J262</f>
        <v>0.01</v>
      </c>
      <c r="AN268">
        <f>IF(Source!BI90&lt;=1,J261+J262+J266+J267,0)</f>
        <v>0</v>
      </c>
      <c r="AO268">
        <f>IF(Source!BI90&lt;=1,J262,0)</f>
        <v>0</v>
      </c>
      <c r="AP268">
        <f>IF(Source!BI90&lt;=1,0,0)</f>
        <v>0</v>
      </c>
      <c r="AQ268">
        <f>IF(Source!BI90&lt;=1,J261,0)</f>
        <v>0</v>
      </c>
      <c r="AX268">
        <f>IF(Source!BI90=2,J261+J262+J266+J267,0)</f>
        <v>2</v>
      </c>
      <c r="AY268">
        <f>IF(Source!BI90=2,J262,0)</f>
        <v>0.01</v>
      </c>
      <c r="AZ268">
        <f>IF(Source!BI90=2,0,0)</f>
        <v>0</v>
      </c>
      <c r="BA268">
        <f>IF(Source!BI90=2,J261,0)</f>
        <v>0.8</v>
      </c>
    </row>
    <row r="269" spans="1:56" ht="119.25">
      <c r="A269" s="57">
        <v>20</v>
      </c>
      <c r="B269" s="57" t="str">
        <f>Source!F91</f>
        <v>м08-02-165-2</v>
      </c>
      <c r="C269" s="57" t="s">
        <v>824</v>
      </c>
      <c r="D269" s="41" t="str">
        <f>Source!H91</f>
        <v>1  ШТ.</v>
      </c>
      <c r="E269" s="37">
        <f>Source!K91</f>
        <v>1</v>
      </c>
      <c r="F269" s="37"/>
      <c r="G269" s="37">
        <f>Source!I91</f>
        <v>1</v>
      </c>
      <c r="H269" s="34"/>
      <c r="I269" s="42"/>
      <c r="J269" s="34"/>
      <c r="K269" s="42"/>
      <c r="L269" s="34"/>
      <c r="AG269">
        <f>Source!X91</f>
        <v>114.27</v>
      </c>
      <c r="AH269">
        <f>Source!HK91</f>
        <v>3305.72</v>
      </c>
      <c r="AI269">
        <f>Source!Y91</f>
        <v>60.08</v>
      </c>
      <c r="AJ269">
        <f>Source!HL91</f>
        <v>1738.06</v>
      </c>
      <c r="AS269">
        <f>IF(Source!BI91&lt;=1,AH269,0)</f>
        <v>0</v>
      </c>
      <c r="AT269">
        <f>IF(Source!BI91&lt;=1,AJ269,0)</f>
        <v>0</v>
      </c>
      <c r="BC269">
        <f>IF(Source!BI91=2,AH269,0)</f>
        <v>3305.72</v>
      </c>
      <c r="BD269">
        <f>IF(Source!BI91=2,AJ269,0)</f>
        <v>1738.06</v>
      </c>
    </row>
    <row r="271" spans="1:12" ht="14.25">
      <c r="A271" s="57"/>
      <c r="B271" s="58">
        <v>1</v>
      </c>
      <c r="C271" s="57" t="s">
        <v>771</v>
      </c>
      <c r="D271" s="41"/>
      <c r="E271" s="37"/>
      <c r="F271" s="37"/>
      <c r="G271" s="37"/>
      <c r="H271" s="34">
        <f>Source!AO91</f>
        <v>42.26</v>
      </c>
      <c r="I271" s="42">
        <f>ROUND(1.35,7)</f>
        <v>1.35</v>
      </c>
      <c r="J271" s="34">
        <f>ROUND(Source!AF91*Source!I91,2)</f>
        <v>57.05</v>
      </c>
      <c r="K271" s="42">
        <f>IF(Source!BA91&lt;&gt;0,Source!BA91,1)</f>
        <v>28.93</v>
      </c>
      <c r="L271" s="34">
        <f>Source!HJ91</f>
        <v>1650.46</v>
      </c>
    </row>
    <row r="272" spans="1:12" ht="14.25">
      <c r="A272" s="57"/>
      <c r="B272" s="58">
        <v>3</v>
      </c>
      <c r="C272" s="57" t="s">
        <v>782</v>
      </c>
      <c r="D272" s="41"/>
      <c r="E272" s="37"/>
      <c r="F272" s="37"/>
      <c r="G272" s="37"/>
      <c r="H272" s="34">
        <f>Source!AM91</f>
        <v>600.97</v>
      </c>
      <c r="I272" s="42">
        <f>ROUND(1.35,7)</f>
        <v>1.35</v>
      </c>
      <c r="J272" s="34">
        <f>ROUND(Source!AD91*Source!I91,2)</f>
        <v>811.31</v>
      </c>
      <c r="K272" s="42"/>
      <c r="L272" s="34"/>
    </row>
    <row r="273" spans="1:12" ht="14.25">
      <c r="A273" s="57"/>
      <c r="B273" s="58">
        <v>2</v>
      </c>
      <c r="C273" s="57" t="s">
        <v>783</v>
      </c>
      <c r="D273" s="41"/>
      <c r="E273" s="37"/>
      <c r="F273" s="37"/>
      <c r="G273" s="37"/>
      <c r="H273" s="34">
        <f>Source!AN91</f>
        <v>45</v>
      </c>
      <c r="I273" s="42">
        <f>ROUND(1.35,7)</f>
        <v>1.35</v>
      </c>
      <c r="J273" s="47">
        <f>ROUND(Source!AE91*Source!I91,2)</f>
        <v>60.75</v>
      </c>
      <c r="K273" s="42">
        <f>IF(Source!BS91&lt;&gt;0,Source!BS91,1)</f>
        <v>28.93</v>
      </c>
      <c r="L273" s="47">
        <f>Source!HI91</f>
        <v>1757.5</v>
      </c>
    </row>
    <row r="274" spans="1:12" ht="14.25">
      <c r="A274" s="57"/>
      <c r="B274" s="58">
        <v>4</v>
      </c>
      <c r="C274" s="57" t="s">
        <v>793</v>
      </c>
      <c r="D274" s="41"/>
      <c r="E274" s="37"/>
      <c r="F274" s="37"/>
      <c r="G274" s="37"/>
      <c r="H274" s="34">
        <f>Source!AL91</f>
        <v>3.61</v>
      </c>
      <c r="I274" s="42"/>
      <c r="J274" s="34">
        <f>ROUND(Source!AC91*Source!I91,2)</f>
        <v>3.61</v>
      </c>
      <c r="K274" s="42"/>
      <c r="L274" s="34"/>
    </row>
    <row r="275" spans="1:12" ht="14.25">
      <c r="A275" s="57"/>
      <c r="B275" s="57"/>
      <c r="C275" s="57" t="s">
        <v>772</v>
      </c>
      <c r="D275" s="41" t="s">
        <v>773</v>
      </c>
      <c r="E275" s="37">
        <f>Source!AQ91</f>
        <v>4.52</v>
      </c>
      <c r="F275" s="37">
        <f>ROUND(1.35,7)</f>
        <v>1.35</v>
      </c>
      <c r="G275" s="37">
        <f>ROUND(Source!U91,7)</f>
        <v>6.102</v>
      </c>
      <c r="H275" s="34"/>
      <c r="I275" s="42"/>
      <c r="J275" s="34"/>
      <c r="K275" s="42"/>
      <c r="L275" s="34"/>
    </row>
    <row r="276" spans="1:12" ht="14.25">
      <c r="A276" s="57"/>
      <c r="B276" s="57"/>
      <c r="C276" s="59" t="s">
        <v>784</v>
      </c>
      <c r="D276" s="43" t="s">
        <v>773</v>
      </c>
      <c r="E276" s="44">
        <f>Source!AR91</f>
        <v>3.43</v>
      </c>
      <c r="F276" s="44">
        <f>ROUND(1.35,7)</f>
        <v>1.35</v>
      </c>
      <c r="G276" s="44">
        <f>ROUND(Source!V91,7)</f>
        <v>4.6305</v>
      </c>
      <c r="H276" s="45"/>
      <c r="I276" s="46"/>
      <c r="J276" s="45"/>
      <c r="K276" s="46"/>
      <c r="L276" s="45"/>
    </row>
    <row r="277" spans="1:12" ht="14.25">
      <c r="A277" s="57"/>
      <c r="B277" s="57"/>
      <c r="C277" s="57" t="s">
        <v>774</v>
      </c>
      <c r="D277" s="41"/>
      <c r="E277" s="37"/>
      <c r="F277" s="37"/>
      <c r="G277" s="37"/>
      <c r="H277" s="34">
        <f>H271+H272+H274</f>
        <v>646.84</v>
      </c>
      <c r="I277" s="42"/>
      <c r="J277" s="34">
        <f>J271+J272+J274</f>
        <v>871.9699999999999</v>
      </c>
      <c r="K277" s="42"/>
      <c r="L277" s="34"/>
    </row>
    <row r="278" spans="1:12" ht="14.25">
      <c r="A278" s="57"/>
      <c r="B278" s="57"/>
      <c r="C278" s="57" t="s">
        <v>775</v>
      </c>
      <c r="D278" s="41"/>
      <c r="E278" s="37"/>
      <c r="F278" s="37"/>
      <c r="G278" s="37"/>
      <c r="H278" s="34"/>
      <c r="I278" s="42"/>
      <c r="J278" s="34">
        <f>SUM(Q269:Q281)+SUM(V269:V281)+SUM(X269:X281)+SUM(Y269:Y281)</f>
        <v>117.8</v>
      </c>
      <c r="K278" s="42"/>
      <c r="L278" s="34">
        <f>SUM(U269:U281)+SUM(W269:W281)+SUM(Z269:Z281)+SUM(AA269:AA281)</f>
        <v>3407.96</v>
      </c>
    </row>
    <row r="279" spans="1:12" ht="28.5">
      <c r="A279" s="57"/>
      <c r="B279" s="57" t="s">
        <v>173</v>
      </c>
      <c r="C279" s="57" t="s">
        <v>816</v>
      </c>
      <c r="D279" s="41" t="s">
        <v>777</v>
      </c>
      <c r="E279" s="37">
        <f>Source!BZ91</f>
        <v>97</v>
      </c>
      <c r="F279" s="37"/>
      <c r="G279" s="37">
        <f>Source!AT91</f>
        <v>97</v>
      </c>
      <c r="H279" s="34"/>
      <c r="I279" s="42"/>
      <c r="J279" s="34">
        <f>SUM(AG269:AG281)</f>
        <v>114.27</v>
      </c>
      <c r="K279" s="42"/>
      <c r="L279" s="34">
        <f>SUM(AH269:AH281)</f>
        <v>3305.72</v>
      </c>
    </row>
    <row r="280" spans="1:12" ht="28.5">
      <c r="A280" s="59"/>
      <c r="B280" s="59" t="s">
        <v>174</v>
      </c>
      <c r="C280" s="59" t="s">
        <v>817</v>
      </c>
      <c r="D280" s="43" t="s">
        <v>777</v>
      </c>
      <c r="E280" s="44">
        <f>Source!CA91</f>
        <v>51</v>
      </c>
      <c r="F280" s="44"/>
      <c r="G280" s="44">
        <f>Source!AU91</f>
        <v>51</v>
      </c>
      <c r="H280" s="45"/>
      <c r="I280" s="46"/>
      <c r="J280" s="45">
        <f>SUM(AI269:AI281)</f>
        <v>60.08</v>
      </c>
      <c r="K280" s="46"/>
      <c r="L280" s="45">
        <f>SUM(AJ269:AJ281)</f>
        <v>1738.06</v>
      </c>
    </row>
    <row r="281" spans="3:53" ht="15">
      <c r="C281" s="102" t="s">
        <v>779</v>
      </c>
      <c r="D281" s="102"/>
      <c r="E281" s="102"/>
      <c r="F281" s="102"/>
      <c r="G281" s="102"/>
      <c r="H281" s="102"/>
      <c r="I281" s="102">
        <f>J271+J272+J274+J279+J280</f>
        <v>1046.32</v>
      </c>
      <c r="J281" s="102"/>
      <c r="O281" s="32">
        <f>I281</f>
        <v>1046.32</v>
      </c>
      <c r="P281">
        <f>K281</f>
        <v>0</v>
      </c>
      <c r="Q281" s="32">
        <f>J271</f>
        <v>57.05</v>
      </c>
      <c r="R281" s="32">
        <f>J271</f>
        <v>57.05</v>
      </c>
      <c r="U281" s="32">
        <f>L271</f>
        <v>1650.46</v>
      </c>
      <c r="X281" s="32">
        <f>J273</f>
        <v>60.75</v>
      </c>
      <c r="Z281" s="32">
        <f>L273</f>
        <v>1757.5</v>
      </c>
      <c r="AB281" s="32">
        <f>J272</f>
        <v>811.31</v>
      </c>
      <c r="AD281" s="32">
        <f>L272</f>
        <v>0</v>
      </c>
      <c r="AF281" s="32">
        <f>J274</f>
        <v>3.61</v>
      </c>
      <c r="AN281">
        <f>IF(Source!BI91&lt;=1,J271+J272+J274+J279+J280,0)</f>
        <v>0</v>
      </c>
      <c r="AO281">
        <f>IF(Source!BI91&lt;=1,J274,0)</f>
        <v>0</v>
      </c>
      <c r="AP281">
        <f>IF(Source!BI91&lt;=1,J272,0)</f>
        <v>0</v>
      </c>
      <c r="AQ281">
        <f>IF(Source!BI91&lt;=1,J271,0)</f>
        <v>0</v>
      </c>
      <c r="AX281">
        <f>IF(Source!BI91=2,J271+J272+J274+J279+J280,0)</f>
        <v>1046.32</v>
      </c>
      <c r="AY281">
        <f>IF(Source!BI91=2,J274,0)</f>
        <v>3.61</v>
      </c>
      <c r="AZ281">
        <f>IF(Source!BI91=2,J272,0)</f>
        <v>811.31</v>
      </c>
      <c r="BA281">
        <f>IF(Source!BI91=2,J271,0)</f>
        <v>57.05</v>
      </c>
    </row>
    <row r="282" spans="1:56" ht="119.25">
      <c r="A282" s="57">
        <v>21</v>
      </c>
      <c r="B282" s="57" t="str">
        <f>Source!F92</f>
        <v>м08-02-144-5</v>
      </c>
      <c r="C282" s="57" t="s">
        <v>825</v>
      </c>
      <c r="D282" s="41" t="str">
        <f>Source!H92</f>
        <v>100 шт.</v>
      </c>
      <c r="E282" s="37">
        <f>Source!K92</f>
        <v>0.04</v>
      </c>
      <c r="F282" s="37"/>
      <c r="G282" s="37">
        <f>Source!I92</f>
        <v>0.04</v>
      </c>
      <c r="H282" s="34"/>
      <c r="I282" s="42"/>
      <c r="J282" s="34"/>
      <c r="K282" s="42"/>
      <c r="L282" s="34"/>
      <c r="AG282">
        <f>Source!X92</f>
        <v>7.4</v>
      </c>
      <c r="AH282">
        <f>Source!HK92</f>
        <v>214.12</v>
      </c>
      <c r="AI282">
        <f>Source!Y92</f>
        <v>3.89</v>
      </c>
      <c r="AJ282">
        <f>Source!HL92</f>
        <v>112.58</v>
      </c>
      <c r="AS282">
        <f>IF(Source!BI92&lt;=1,AH282,0)</f>
        <v>0</v>
      </c>
      <c r="AT282">
        <f>IF(Source!BI92&lt;=1,AJ282,0)</f>
        <v>0</v>
      </c>
      <c r="BC282">
        <f>IF(Source!BI92=2,AH282,0)</f>
        <v>214.12</v>
      </c>
      <c r="BD282">
        <f>IF(Source!BI92=2,AJ282,0)</f>
        <v>112.58</v>
      </c>
    </row>
    <row r="284" ht="12.75">
      <c r="C284" s="31" t="str">
        <f>"Объем: "&amp;Source!K92&amp;"=4/"&amp;"100"</f>
        <v>Объем: 0,04=4/100</v>
      </c>
    </row>
    <row r="285" spans="1:12" ht="14.25">
      <c r="A285" s="57"/>
      <c r="B285" s="58">
        <v>1</v>
      </c>
      <c r="C285" s="57" t="s">
        <v>771</v>
      </c>
      <c r="D285" s="41"/>
      <c r="E285" s="37"/>
      <c r="F285" s="37"/>
      <c r="G285" s="37"/>
      <c r="H285" s="34">
        <f>Source!AO92</f>
        <v>141.37</v>
      </c>
      <c r="I285" s="42">
        <f>ROUND(1.35,7)</f>
        <v>1.35</v>
      </c>
      <c r="J285" s="34">
        <f>ROUND(Source!AF92*Source!I92,2)</f>
        <v>7.63</v>
      </c>
      <c r="K285" s="42">
        <f>IF(Source!BA92&lt;&gt;0,Source!BA92,1)</f>
        <v>28.93</v>
      </c>
      <c r="L285" s="34">
        <f>Source!HJ92</f>
        <v>220.74</v>
      </c>
    </row>
    <row r="286" spans="1:12" ht="14.25">
      <c r="A286" s="57"/>
      <c r="B286" s="58">
        <v>4</v>
      </c>
      <c r="C286" s="57" t="s">
        <v>793</v>
      </c>
      <c r="D286" s="41"/>
      <c r="E286" s="37"/>
      <c r="F286" s="37"/>
      <c r="G286" s="37"/>
      <c r="H286" s="34">
        <f>Source!AL92</f>
        <v>2.83</v>
      </c>
      <c r="I286" s="42"/>
      <c r="J286" s="34">
        <f>ROUND(Source!AC92*Source!I92,2)</f>
        <v>0.11</v>
      </c>
      <c r="K286" s="42"/>
      <c r="L286" s="34"/>
    </row>
    <row r="287" spans="1:12" ht="14.25">
      <c r="A287" s="57"/>
      <c r="B287" s="57"/>
      <c r="C287" s="59" t="s">
        <v>772</v>
      </c>
      <c r="D287" s="43" t="s">
        <v>773</v>
      </c>
      <c r="E287" s="44">
        <f>Source!AQ92</f>
        <v>15.12</v>
      </c>
      <c r="F287" s="44">
        <f>ROUND(1.35,7)</f>
        <v>1.35</v>
      </c>
      <c r="G287" s="44">
        <f>ROUND(Source!U92,7)</f>
        <v>0.81648</v>
      </c>
      <c r="H287" s="45"/>
      <c r="I287" s="46"/>
      <c r="J287" s="45"/>
      <c r="K287" s="46"/>
      <c r="L287" s="45"/>
    </row>
    <row r="288" spans="1:12" ht="14.25">
      <c r="A288" s="57"/>
      <c r="B288" s="57"/>
      <c r="C288" s="57" t="s">
        <v>774</v>
      </c>
      <c r="D288" s="41"/>
      <c r="E288" s="37"/>
      <c r="F288" s="37"/>
      <c r="G288" s="37"/>
      <c r="H288" s="34">
        <f>H285+H286</f>
        <v>144.20000000000002</v>
      </c>
      <c r="I288" s="42"/>
      <c r="J288" s="34">
        <f>J285+J286</f>
        <v>7.74</v>
      </c>
      <c r="K288" s="42"/>
      <c r="L288" s="34"/>
    </row>
    <row r="289" spans="1:12" ht="14.25">
      <c r="A289" s="57"/>
      <c r="B289" s="57"/>
      <c r="C289" s="57" t="s">
        <v>775</v>
      </c>
      <c r="D289" s="41"/>
      <c r="E289" s="37"/>
      <c r="F289" s="37"/>
      <c r="G289" s="37"/>
      <c r="H289" s="34"/>
      <c r="I289" s="42"/>
      <c r="J289" s="34">
        <f>SUM(Q282:Q292)+SUM(V282:V292)+SUM(X282:X292)+SUM(Y282:Y292)</f>
        <v>7.63</v>
      </c>
      <c r="K289" s="42"/>
      <c r="L289" s="34">
        <f>SUM(U282:U292)+SUM(W282:W292)+SUM(Z282:Z292)+SUM(AA282:AA292)</f>
        <v>220.74</v>
      </c>
    </row>
    <row r="290" spans="1:12" ht="28.5">
      <c r="A290" s="57"/>
      <c r="B290" s="57" t="s">
        <v>173</v>
      </c>
      <c r="C290" s="57" t="s">
        <v>816</v>
      </c>
      <c r="D290" s="41" t="s">
        <v>777</v>
      </c>
      <c r="E290" s="37">
        <f>Source!BZ92</f>
        <v>97</v>
      </c>
      <c r="F290" s="37"/>
      <c r="G290" s="37">
        <f>Source!AT92</f>
        <v>97</v>
      </c>
      <c r="H290" s="34"/>
      <c r="I290" s="42"/>
      <c r="J290" s="34">
        <f>SUM(AG282:AG292)</f>
        <v>7.4</v>
      </c>
      <c r="K290" s="42"/>
      <c r="L290" s="34">
        <f>SUM(AH282:AH292)</f>
        <v>214.12</v>
      </c>
    </row>
    <row r="291" spans="1:12" ht="28.5">
      <c r="A291" s="59"/>
      <c r="B291" s="59" t="s">
        <v>174</v>
      </c>
      <c r="C291" s="59" t="s">
        <v>817</v>
      </c>
      <c r="D291" s="43" t="s">
        <v>777</v>
      </c>
      <c r="E291" s="44">
        <f>Source!CA92</f>
        <v>51</v>
      </c>
      <c r="F291" s="44"/>
      <c r="G291" s="44">
        <f>Source!AU92</f>
        <v>51</v>
      </c>
      <c r="H291" s="45"/>
      <c r="I291" s="46"/>
      <c r="J291" s="45">
        <f>SUM(AI282:AI292)</f>
        <v>3.89</v>
      </c>
      <c r="K291" s="46"/>
      <c r="L291" s="45">
        <f>SUM(AJ282:AJ292)</f>
        <v>112.58</v>
      </c>
    </row>
    <row r="292" spans="3:53" ht="15">
      <c r="C292" s="102" t="s">
        <v>779</v>
      </c>
      <c r="D292" s="102"/>
      <c r="E292" s="102"/>
      <c r="F292" s="102"/>
      <c r="G292" s="102"/>
      <c r="H292" s="102"/>
      <c r="I292" s="102">
        <f>J285+J286+J290+J291</f>
        <v>19.03</v>
      </c>
      <c r="J292" s="102"/>
      <c r="O292" s="32">
        <f>I292</f>
        <v>19.03</v>
      </c>
      <c r="P292">
        <f>K292</f>
        <v>0</v>
      </c>
      <c r="Q292" s="32">
        <f>J285</f>
        <v>7.63</v>
      </c>
      <c r="R292" s="32">
        <f>J285</f>
        <v>7.63</v>
      </c>
      <c r="U292" s="32">
        <f>L285</f>
        <v>220.74</v>
      </c>
      <c r="X292">
        <f>0</f>
        <v>0</v>
      </c>
      <c r="Z292">
        <f>0</f>
        <v>0</v>
      </c>
      <c r="AB292">
        <f>0</f>
        <v>0</v>
      </c>
      <c r="AD292">
        <f>0</f>
        <v>0</v>
      </c>
      <c r="AF292" s="32">
        <f>J286</f>
        <v>0.11</v>
      </c>
      <c r="AN292">
        <f>IF(Source!BI92&lt;=1,J285+J286+J290+J291,0)</f>
        <v>0</v>
      </c>
      <c r="AO292">
        <f>IF(Source!BI92&lt;=1,J286,0)</f>
        <v>0</v>
      </c>
      <c r="AP292">
        <f>IF(Source!BI92&lt;=1,0,0)</f>
        <v>0</v>
      </c>
      <c r="AQ292">
        <f>IF(Source!BI92&lt;=1,J285,0)</f>
        <v>0</v>
      </c>
      <c r="AX292">
        <f>IF(Source!BI92=2,J285+J286+J290+J291,0)</f>
        <v>19.03</v>
      </c>
      <c r="AY292">
        <f>IF(Source!BI92=2,J286,0)</f>
        <v>0.11</v>
      </c>
      <c r="AZ292">
        <f>IF(Source!BI92=2,0,0)</f>
        <v>0</v>
      </c>
      <c r="BA292">
        <f>IF(Source!BI92=2,J285,0)</f>
        <v>7.63</v>
      </c>
    </row>
    <row r="293" spans="1:56" ht="147.75">
      <c r="A293" s="57">
        <v>22</v>
      </c>
      <c r="B293" s="57" t="str">
        <f>Source!F93</f>
        <v>м08-02-166-9</v>
      </c>
      <c r="C293" s="57" t="s">
        <v>826</v>
      </c>
      <c r="D293" s="41" t="str">
        <f>Source!H93</f>
        <v>1  ШТ.</v>
      </c>
      <c r="E293" s="37">
        <f>Source!K93</f>
        <v>1</v>
      </c>
      <c r="F293" s="37"/>
      <c r="G293" s="37">
        <f>Source!I93</f>
        <v>1</v>
      </c>
      <c r="H293" s="34"/>
      <c r="I293" s="42"/>
      <c r="J293" s="34"/>
      <c r="K293" s="42"/>
      <c r="L293" s="34"/>
      <c r="AG293">
        <f>Source!X93</f>
        <v>104.65</v>
      </c>
      <c r="AH293">
        <f>Source!HK93</f>
        <v>3027.62</v>
      </c>
      <c r="AI293">
        <f>Source!Y93</f>
        <v>55.02</v>
      </c>
      <c r="AJ293">
        <f>Source!HL93</f>
        <v>1591.84</v>
      </c>
      <c r="AS293">
        <f>IF(Source!BI93&lt;=1,AH293,0)</f>
        <v>0</v>
      </c>
      <c r="AT293">
        <f>IF(Source!BI93&lt;=1,AJ293,0)</f>
        <v>0</v>
      </c>
      <c r="BC293">
        <f>IF(Source!BI93=2,AH293,0)</f>
        <v>3027.62</v>
      </c>
      <c r="BD293">
        <f>IF(Source!BI93=2,AJ293,0)</f>
        <v>1591.84</v>
      </c>
    </row>
    <row r="295" spans="1:12" ht="14.25">
      <c r="A295" s="57"/>
      <c r="B295" s="58">
        <v>1</v>
      </c>
      <c r="C295" s="57" t="s">
        <v>771</v>
      </c>
      <c r="D295" s="41"/>
      <c r="E295" s="37"/>
      <c r="F295" s="37"/>
      <c r="G295" s="37"/>
      <c r="H295" s="34">
        <f>Source!AO93</f>
        <v>77.79</v>
      </c>
      <c r="I295" s="42">
        <f>ROUND(1.15*1.2,7)</f>
        <v>1.38</v>
      </c>
      <c r="J295" s="34">
        <f>ROUND(Source!AF93*Source!I93,2)</f>
        <v>107.35</v>
      </c>
      <c r="K295" s="42">
        <f>IF(Source!BA93&lt;&gt;0,Source!BA93,1)</f>
        <v>28.93</v>
      </c>
      <c r="L295" s="34">
        <f>Source!HJ93</f>
        <v>3105.64</v>
      </c>
    </row>
    <row r="296" spans="1:12" ht="14.25">
      <c r="A296" s="57"/>
      <c r="B296" s="58">
        <v>3</v>
      </c>
      <c r="C296" s="57" t="s">
        <v>782</v>
      </c>
      <c r="D296" s="41"/>
      <c r="E296" s="37"/>
      <c r="F296" s="37"/>
      <c r="G296" s="37"/>
      <c r="H296" s="34">
        <f>Source!AM93</f>
        <v>7.12</v>
      </c>
      <c r="I296" s="42">
        <f>ROUND(1.15*1.2,7)</f>
        <v>1.38</v>
      </c>
      <c r="J296" s="34">
        <f>ROUND(Source!AD93*Source!I93,2)</f>
        <v>9.83</v>
      </c>
      <c r="K296" s="42"/>
      <c r="L296" s="34"/>
    </row>
    <row r="297" spans="1:12" ht="14.25">
      <c r="A297" s="57"/>
      <c r="B297" s="58">
        <v>2</v>
      </c>
      <c r="C297" s="57" t="s">
        <v>783</v>
      </c>
      <c r="D297" s="41"/>
      <c r="E297" s="37"/>
      <c r="F297" s="37"/>
      <c r="G297" s="37"/>
      <c r="H297" s="34">
        <f>Source!AN93</f>
        <v>0.39</v>
      </c>
      <c r="I297" s="42">
        <f>ROUND(1.15*1.2,7)</f>
        <v>1.38</v>
      </c>
      <c r="J297" s="47">
        <f>ROUND(Source!AE93*Source!I93,2)</f>
        <v>0.54</v>
      </c>
      <c r="K297" s="42">
        <f>IF(Source!BS93&lt;&gt;0,Source!BS93,1)</f>
        <v>28.93</v>
      </c>
      <c r="L297" s="47">
        <f>Source!HI93</f>
        <v>15.62</v>
      </c>
    </row>
    <row r="298" spans="1:12" ht="14.25">
      <c r="A298" s="57"/>
      <c r="B298" s="58">
        <v>4</v>
      </c>
      <c r="C298" s="57" t="s">
        <v>793</v>
      </c>
      <c r="D298" s="41"/>
      <c r="E298" s="37"/>
      <c r="F298" s="37"/>
      <c r="G298" s="37"/>
      <c r="H298" s="34">
        <f>Source!AL93</f>
        <v>20.54</v>
      </c>
      <c r="I298" s="42"/>
      <c r="J298" s="34">
        <f>ROUND(Source!AC93*Source!I93,2)</f>
        <v>20.54</v>
      </c>
      <c r="K298" s="42"/>
      <c r="L298" s="34"/>
    </row>
    <row r="299" spans="1:12" ht="14.25">
      <c r="A299" s="57"/>
      <c r="B299" s="57"/>
      <c r="C299" s="57" t="s">
        <v>772</v>
      </c>
      <c r="D299" s="41" t="s">
        <v>773</v>
      </c>
      <c r="E299" s="37">
        <f>Source!AQ93</f>
        <v>8.32</v>
      </c>
      <c r="F299" s="37">
        <f>ROUND(1.15*1.2,7)</f>
        <v>1.38</v>
      </c>
      <c r="G299" s="37">
        <f>ROUND(Source!U93,7)</f>
        <v>11.4816</v>
      </c>
      <c r="H299" s="34"/>
      <c r="I299" s="42"/>
      <c r="J299" s="34"/>
      <c r="K299" s="42"/>
      <c r="L299" s="34"/>
    </row>
    <row r="300" spans="1:12" ht="14.25">
      <c r="A300" s="57"/>
      <c r="B300" s="57"/>
      <c r="C300" s="59" t="s">
        <v>784</v>
      </c>
      <c r="D300" s="43" t="s">
        <v>773</v>
      </c>
      <c r="E300" s="44">
        <f>Source!AR93</f>
        <v>0.06</v>
      </c>
      <c r="F300" s="44">
        <f>ROUND(1.15*1.2,7)</f>
        <v>1.38</v>
      </c>
      <c r="G300" s="44">
        <f>ROUND(Source!V93,7)</f>
        <v>0.0828</v>
      </c>
      <c r="H300" s="45"/>
      <c r="I300" s="46"/>
      <c r="J300" s="45"/>
      <c r="K300" s="46"/>
      <c r="L300" s="45"/>
    </row>
    <row r="301" spans="1:12" ht="14.25">
      <c r="A301" s="57"/>
      <c r="B301" s="57"/>
      <c r="C301" s="57" t="s">
        <v>774</v>
      </c>
      <c r="D301" s="41"/>
      <c r="E301" s="37"/>
      <c r="F301" s="37"/>
      <c r="G301" s="37"/>
      <c r="H301" s="34">
        <f>H295+H296+H298</f>
        <v>105.45000000000002</v>
      </c>
      <c r="I301" s="42"/>
      <c r="J301" s="34">
        <f>J295+J296+J298</f>
        <v>137.72</v>
      </c>
      <c r="K301" s="42"/>
      <c r="L301" s="34"/>
    </row>
    <row r="302" spans="1:12" ht="14.25">
      <c r="A302" s="57"/>
      <c r="B302" s="57"/>
      <c r="C302" s="57" t="s">
        <v>775</v>
      </c>
      <c r="D302" s="41"/>
      <c r="E302" s="37"/>
      <c r="F302" s="37"/>
      <c r="G302" s="37"/>
      <c r="H302" s="34"/>
      <c r="I302" s="42"/>
      <c r="J302" s="34">
        <f>SUM(Q293:Q305)+SUM(V293:V305)+SUM(X293:X305)+SUM(Y293:Y305)</f>
        <v>107.89</v>
      </c>
      <c r="K302" s="42"/>
      <c r="L302" s="34">
        <f>SUM(U293:U305)+SUM(W293:W305)+SUM(Z293:Z305)+SUM(AA293:AA305)</f>
        <v>3121.2599999999998</v>
      </c>
    </row>
    <row r="303" spans="1:12" ht="28.5">
      <c r="A303" s="57"/>
      <c r="B303" s="57" t="s">
        <v>173</v>
      </c>
      <c r="C303" s="57" t="s">
        <v>816</v>
      </c>
      <c r="D303" s="41" t="s">
        <v>777</v>
      </c>
      <c r="E303" s="37">
        <f>Source!BZ93</f>
        <v>97</v>
      </c>
      <c r="F303" s="37"/>
      <c r="G303" s="37">
        <f>Source!AT93</f>
        <v>97</v>
      </c>
      <c r="H303" s="34"/>
      <c r="I303" s="42"/>
      <c r="J303" s="34">
        <f>SUM(AG293:AG305)</f>
        <v>104.65</v>
      </c>
      <c r="K303" s="42"/>
      <c r="L303" s="34">
        <f>SUM(AH293:AH305)</f>
        <v>3027.62</v>
      </c>
    </row>
    <row r="304" spans="1:12" ht="28.5">
      <c r="A304" s="59"/>
      <c r="B304" s="59" t="s">
        <v>174</v>
      </c>
      <c r="C304" s="59" t="s">
        <v>817</v>
      </c>
      <c r="D304" s="43" t="s">
        <v>777</v>
      </c>
      <c r="E304" s="44">
        <f>Source!CA93</f>
        <v>51</v>
      </c>
      <c r="F304" s="44"/>
      <c r="G304" s="44">
        <f>Source!AU93</f>
        <v>51</v>
      </c>
      <c r="H304" s="45"/>
      <c r="I304" s="46"/>
      <c r="J304" s="45">
        <f>SUM(AI293:AI305)</f>
        <v>55.02</v>
      </c>
      <c r="K304" s="46"/>
      <c r="L304" s="45">
        <f>SUM(AJ293:AJ305)</f>
        <v>1591.84</v>
      </c>
    </row>
    <row r="305" spans="3:53" ht="15">
      <c r="C305" s="102" t="s">
        <v>779</v>
      </c>
      <c r="D305" s="102"/>
      <c r="E305" s="102"/>
      <c r="F305" s="102"/>
      <c r="G305" s="102"/>
      <c r="H305" s="102"/>
      <c r="I305" s="102">
        <f>J295+J296+J298+J303+J304</f>
        <v>297.39</v>
      </c>
      <c r="J305" s="102"/>
      <c r="O305" s="32">
        <f>I305</f>
        <v>297.39</v>
      </c>
      <c r="P305">
        <f>K305</f>
        <v>0</v>
      </c>
      <c r="Q305" s="32">
        <f>J295</f>
        <v>107.35</v>
      </c>
      <c r="R305" s="32">
        <f>J295</f>
        <v>107.35</v>
      </c>
      <c r="U305" s="32">
        <f>L295</f>
        <v>3105.64</v>
      </c>
      <c r="X305" s="32">
        <f>J297</f>
        <v>0.54</v>
      </c>
      <c r="Z305" s="32">
        <f>L297</f>
        <v>15.62</v>
      </c>
      <c r="AB305" s="32">
        <f>J296</f>
        <v>9.83</v>
      </c>
      <c r="AD305" s="32">
        <f>L296</f>
        <v>0</v>
      </c>
      <c r="AF305" s="32">
        <f>J298</f>
        <v>20.54</v>
      </c>
      <c r="AN305">
        <f>IF(Source!BI93&lt;=1,J295+J296+J298+J303+J304,0)</f>
        <v>0</v>
      </c>
      <c r="AO305">
        <f>IF(Source!BI93&lt;=1,J298,0)</f>
        <v>0</v>
      </c>
      <c r="AP305">
        <f>IF(Source!BI93&lt;=1,J296,0)</f>
        <v>0</v>
      </c>
      <c r="AQ305">
        <f>IF(Source!BI93&lt;=1,J295,0)</f>
        <v>0</v>
      </c>
      <c r="AX305">
        <f>IF(Source!BI93=2,J295+J296+J298+J303+J304,0)</f>
        <v>297.39</v>
      </c>
      <c r="AY305">
        <f>IF(Source!BI93=2,J298,0)</f>
        <v>20.54</v>
      </c>
      <c r="AZ305">
        <f>IF(Source!BI93=2,J296,0)</f>
        <v>9.83</v>
      </c>
      <c r="BA305">
        <f>IF(Source!BI93=2,J295,0)</f>
        <v>107.35</v>
      </c>
    </row>
    <row r="306" spans="1:56" ht="119.25">
      <c r="A306" s="57">
        <v>23</v>
      </c>
      <c r="B306" s="57" t="str">
        <f>Source!F94</f>
        <v>м08-02-155-1</v>
      </c>
      <c r="C306" s="57" t="s">
        <v>827</v>
      </c>
      <c r="D306" s="41" t="str">
        <f>Source!H94</f>
        <v>1 проход кабеля</v>
      </c>
      <c r="E306" s="37">
        <f>Source!K94</f>
        <v>6</v>
      </c>
      <c r="F306" s="37"/>
      <c r="G306" s="37">
        <f>Source!I94</f>
        <v>6</v>
      </c>
      <c r="H306" s="34"/>
      <c r="I306" s="42"/>
      <c r="J306" s="34"/>
      <c r="K306" s="42"/>
      <c r="L306" s="34"/>
      <c r="AG306">
        <f>Source!X94</f>
        <v>28.52</v>
      </c>
      <c r="AH306">
        <f>Source!HK94</f>
        <v>825.02</v>
      </c>
      <c r="AI306">
        <f>Source!Y94</f>
        <v>14.99</v>
      </c>
      <c r="AJ306">
        <f>Source!HL94</f>
        <v>433.78</v>
      </c>
      <c r="AS306">
        <f>IF(Source!BI94&lt;=1,AH306,0)</f>
        <v>0</v>
      </c>
      <c r="AT306">
        <f>IF(Source!BI94&lt;=1,AJ306,0)</f>
        <v>0</v>
      </c>
      <c r="BC306">
        <f>IF(Source!BI94=2,AH306,0)</f>
        <v>825.02</v>
      </c>
      <c r="BD306">
        <f>IF(Source!BI94=2,AJ306,0)</f>
        <v>433.78</v>
      </c>
    </row>
    <row r="308" spans="1:12" ht="14.25">
      <c r="A308" s="57"/>
      <c r="B308" s="58">
        <v>1</v>
      </c>
      <c r="C308" s="57" t="s">
        <v>771</v>
      </c>
      <c r="D308" s="41"/>
      <c r="E308" s="37"/>
      <c r="F308" s="37"/>
      <c r="G308" s="37"/>
      <c r="H308" s="34">
        <f>Source!AO94</f>
        <v>3.55</v>
      </c>
      <c r="I308" s="42">
        <f>ROUND(1.15*1.2,7)</f>
        <v>1.38</v>
      </c>
      <c r="J308" s="34">
        <f>ROUND(Source!AF94*Source!I94,2)</f>
        <v>29.4</v>
      </c>
      <c r="K308" s="42">
        <f>IF(Source!BA94&lt;&gt;0,Source!BA94,1)</f>
        <v>28.93</v>
      </c>
      <c r="L308" s="34">
        <f>Source!HJ94</f>
        <v>850.54</v>
      </c>
    </row>
    <row r="309" spans="1:12" ht="14.25">
      <c r="A309" s="57"/>
      <c r="B309" s="58">
        <v>4</v>
      </c>
      <c r="C309" s="57" t="s">
        <v>793</v>
      </c>
      <c r="D309" s="41"/>
      <c r="E309" s="37"/>
      <c r="F309" s="37"/>
      <c r="G309" s="37"/>
      <c r="H309" s="34">
        <f>Source!AL94</f>
        <v>17.79</v>
      </c>
      <c r="I309" s="42"/>
      <c r="J309" s="34">
        <f>ROUND(Source!AC94*Source!I94,2)</f>
        <v>106.74</v>
      </c>
      <c r="K309" s="42"/>
      <c r="L309" s="34"/>
    </row>
    <row r="310" spans="1:12" ht="14.25">
      <c r="A310" s="57"/>
      <c r="B310" s="57"/>
      <c r="C310" s="59" t="s">
        <v>772</v>
      </c>
      <c r="D310" s="43" t="s">
        <v>773</v>
      </c>
      <c r="E310" s="44">
        <f>Source!AQ94</f>
        <v>0.38</v>
      </c>
      <c r="F310" s="44">
        <f>ROUND(1.15*1.2,7)</f>
        <v>1.38</v>
      </c>
      <c r="G310" s="44">
        <f>ROUND(Source!U94,7)</f>
        <v>3.1464</v>
      </c>
      <c r="H310" s="45"/>
      <c r="I310" s="46"/>
      <c r="J310" s="45"/>
      <c r="K310" s="46"/>
      <c r="L310" s="45"/>
    </row>
    <row r="311" spans="1:12" ht="14.25">
      <c r="A311" s="57"/>
      <c r="B311" s="57"/>
      <c r="C311" s="57" t="s">
        <v>774</v>
      </c>
      <c r="D311" s="41"/>
      <c r="E311" s="37"/>
      <c r="F311" s="37"/>
      <c r="G311" s="37"/>
      <c r="H311" s="34">
        <f>H308+H309</f>
        <v>21.34</v>
      </c>
      <c r="I311" s="42"/>
      <c r="J311" s="34">
        <f>J308+J309</f>
        <v>136.14</v>
      </c>
      <c r="K311" s="42"/>
      <c r="L311" s="34"/>
    </row>
    <row r="312" spans="1:56" ht="28.5">
      <c r="A312" s="57" t="s">
        <v>219</v>
      </c>
      <c r="B312" s="57" t="str">
        <f>Source!F95</f>
        <v>509-0900</v>
      </c>
      <c r="C312" s="57" t="s">
        <v>828</v>
      </c>
      <c r="D312" s="41" t="str">
        <f>Source!H95</f>
        <v>кг</v>
      </c>
      <c r="E312" s="37">
        <f>SmtRes!AT113</f>
        <v>-0.72</v>
      </c>
      <c r="F312" s="37"/>
      <c r="G312" s="37">
        <f>Source!I95</f>
        <v>-4.32</v>
      </c>
      <c r="H312" s="34">
        <f>Source!AL95+Source!AO95+Source!AM95</f>
        <v>19.94</v>
      </c>
      <c r="I312" s="42"/>
      <c r="J312" s="34">
        <f>ROUND(Source!AC95*Source!I95,2)+ROUND(Source!AD95*Source!I95,2)+ROUND(Source!AF95*Source!I95,2)</f>
        <v>-86.14</v>
      </c>
      <c r="K312" s="42"/>
      <c r="L312" s="34"/>
      <c r="AF312" s="32">
        <f>J312</f>
        <v>-86.14</v>
      </c>
      <c r="AG312">
        <f>Source!X95</f>
        <v>0</v>
      </c>
      <c r="AH312">
        <f>Source!HK95</f>
        <v>0</v>
      </c>
      <c r="AI312">
        <f>Source!Y95</f>
        <v>0</v>
      </c>
      <c r="AJ312">
        <f>Source!HL95</f>
        <v>0</v>
      </c>
      <c r="AN312">
        <f>IF(Source!BI95&lt;=1,J312,0)</f>
        <v>0</v>
      </c>
      <c r="AO312">
        <f>IF(Source!BI95&lt;=1,J312,0)</f>
        <v>0</v>
      </c>
      <c r="AS312">
        <f>IF(Source!BI95&lt;=1,AH312,0)</f>
        <v>0</v>
      </c>
      <c r="AT312">
        <f>IF(Source!BI95&lt;=1,AJ312,0)</f>
        <v>0</v>
      </c>
      <c r="AX312">
        <f>IF(Source!BI95=2,J312,0)</f>
        <v>-86.14</v>
      </c>
      <c r="AY312">
        <f>IF(Source!BI95=2,J312,0)</f>
        <v>-86.14</v>
      </c>
      <c r="BC312">
        <f>IF(Source!BI95=2,AH312,0)</f>
        <v>0</v>
      </c>
      <c r="BD312">
        <f>IF(Source!BI95=2,AJ312,0)</f>
        <v>0</v>
      </c>
    </row>
    <row r="313" spans="1:12" ht="14.25">
      <c r="A313" s="57"/>
      <c r="B313" s="57"/>
      <c r="C313" s="57" t="s">
        <v>775</v>
      </c>
      <c r="D313" s="41"/>
      <c r="E313" s="37"/>
      <c r="F313" s="37"/>
      <c r="G313" s="37"/>
      <c r="H313" s="34"/>
      <c r="I313" s="42"/>
      <c r="J313" s="34">
        <f>SUM(Q306:Q316)+SUM(V306:V316)+SUM(X306:X316)+SUM(Y306:Y316)</f>
        <v>29.4</v>
      </c>
      <c r="K313" s="42"/>
      <c r="L313" s="34">
        <f>SUM(U306:U316)+SUM(W306:W316)+SUM(Z306:Z316)+SUM(AA306:AA316)</f>
        <v>850.54</v>
      </c>
    </row>
    <row r="314" spans="1:12" ht="28.5">
      <c r="A314" s="57"/>
      <c r="B314" s="57" t="s">
        <v>173</v>
      </c>
      <c r="C314" s="57" t="s">
        <v>816</v>
      </c>
      <c r="D314" s="41" t="s">
        <v>777</v>
      </c>
      <c r="E314" s="37">
        <f>Source!BZ94</f>
        <v>97</v>
      </c>
      <c r="F314" s="37"/>
      <c r="G314" s="37">
        <f>Source!AT94</f>
        <v>97</v>
      </c>
      <c r="H314" s="34"/>
      <c r="I314" s="42"/>
      <c r="J314" s="34">
        <f>SUM(AG306:AG316)</f>
        <v>28.52</v>
      </c>
      <c r="K314" s="42"/>
      <c r="L314" s="34">
        <f>SUM(AH306:AH316)</f>
        <v>825.02</v>
      </c>
    </row>
    <row r="315" spans="1:12" ht="28.5">
      <c r="A315" s="59"/>
      <c r="B315" s="59" t="s">
        <v>174</v>
      </c>
      <c r="C315" s="59" t="s">
        <v>817</v>
      </c>
      <c r="D315" s="43" t="s">
        <v>777</v>
      </c>
      <c r="E315" s="44">
        <f>Source!CA94</f>
        <v>51</v>
      </c>
      <c r="F315" s="44"/>
      <c r="G315" s="44">
        <f>Source!AU94</f>
        <v>51</v>
      </c>
      <c r="H315" s="45"/>
      <c r="I315" s="46"/>
      <c r="J315" s="45">
        <f>SUM(AI306:AI316)</f>
        <v>14.99</v>
      </c>
      <c r="K315" s="46"/>
      <c r="L315" s="45">
        <f>SUM(AJ306:AJ316)</f>
        <v>433.78</v>
      </c>
    </row>
    <row r="316" spans="3:53" ht="15">
      <c r="C316" s="102" t="s">
        <v>779</v>
      </c>
      <c r="D316" s="102"/>
      <c r="E316" s="102"/>
      <c r="F316" s="102"/>
      <c r="G316" s="102"/>
      <c r="H316" s="102"/>
      <c r="I316" s="102">
        <f>J308+J309+J314+J315+SUM(J312:J312)</f>
        <v>93.51</v>
      </c>
      <c r="J316" s="102"/>
      <c r="O316" s="32">
        <f>I316</f>
        <v>93.51</v>
      </c>
      <c r="P316">
        <f>K316</f>
        <v>0</v>
      </c>
      <c r="Q316" s="32">
        <f>J308</f>
        <v>29.4</v>
      </c>
      <c r="R316" s="32">
        <f>J308</f>
        <v>29.4</v>
      </c>
      <c r="U316" s="32">
        <f>L308</f>
        <v>850.54</v>
      </c>
      <c r="X316">
        <f>0</f>
        <v>0</v>
      </c>
      <c r="Z316">
        <f>0</f>
        <v>0</v>
      </c>
      <c r="AB316">
        <f>0</f>
        <v>0</v>
      </c>
      <c r="AD316">
        <f>0</f>
        <v>0</v>
      </c>
      <c r="AF316" s="32">
        <f>J309</f>
        <v>106.74</v>
      </c>
      <c r="AN316">
        <f>IF(Source!BI94&lt;=1,J308+J309+J314+J315,0)</f>
        <v>0</v>
      </c>
      <c r="AO316">
        <f>IF(Source!BI94&lt;=1,J309,0)</f>
        <v>0</v>
      </c>
      <c r="AP316">
        <f>IF(Source!BI94&lt;=1,0,0)</f>
        <v>0</v>
      </c>
      <c r="AQ316">
        <f>IF(Source!BI94&lt;=1,J308,0)</f>
        <v>0</v>
      </c>
      <c r="AX316">
        <f>IF(Source!BI94=2,J308+J309+J314+J315,0)</f>
        <v>179.65</v>
      </c>
      <c r="AY316">
        <f>IF(Source!BI94=2,J309,0)</f>
        <v>106.74</v>
      </c>
      <c r="AZ316">
        <f>IF(Source!BI94=2,0,0)</f>
        <v>0</v>
      </c>
      <c r="BA316">
        <f>IF(Source!BI94=2,J308,0)</f>
        <v>29.4</v>
      </c>
    </row>
    <row r="317" spans="1:56" ht="119.25">
      <c r="A317" s="57">
        <v>24</v>
      </c>
      <c r="B317" s="57" t="str">
        <f>Source!F96</f>
        <v>м08-03-523-2</v>
      </c>
      <c r="C317" s="57" t="s">
        <v>829</v>
      </c>
      <c r="D317" s="41" t="str">
        <f>Source!H96</f>
        <v>1  ШТ.</v>
      </c>
      <c r="E317" s="37">
        <f>Source!K96</f>
        <v>3</v>
      </c>
      <c r="F317" s="37"/>
      <c r="G317" s="37">
        <f>Source!I96</f>
        <v>3</v>
      </c>
      <c r="H317" s="34"/>
      <c r="I317" s="42"/>
      <c r="J317" s="34"/>
      <c r="K317" s="42"/>
      <c r="L317" s="34"/>
      <c r="AG317">
        <f>Source!X96</f>
        <v>50.69</v>
      </c>
      <c r="AH317">
        <f>Source!HK96</f>
        <v>1466.52</v>
      </c>
      <c r="AI317">
        <f>Source!Y96</f>
        <v>26.65</v>
      </c>
      <c r="AJ317">
        <f>Source!HL96</f>
        <v>771.06</v>
      </c>
      <c r="AS317">
        <f>IF(Source!BI96&lt;=1,AH317,0)</f>
        <v>0</v>
      </c>
      <c r="AT317">
        <f>IF(Source!BI96&lt;=1,AJ317,0)</f>
        <v>0</v>
      </c>
      <c r="BC317">
        <f>IF(Source!BI96=2,AH317,0)</f>
        <v>1466.52</v>
      </c>
      <c r="BD317">
        <f>IF(Source!BI96=2,AJ317,0)</f>
        <v>771.06</v>
      </c>
    </row>
    <row r="319" spans="1:12" ht="14.25">
      <c r="A319" s="57"/>
      <c r="B319" s="58">
        <v>1</v>
      </c>
      <c r="C319" s="57" t="s">
        <v>771</v>
      </c>
      <c r="D319" s="41"/>
      <c r="E319" s="37"/>
      <c r="F319" s="37"/>
      <c r="G319" s="37"/>
      <c r="H319" s="34">
        <f>Source!AO96</f>
        <v>12.9</v>
      </c>
      <c r="I319" s="42">
        <f>ROUND(1.35,7)</f>
        <v>1.35</v>
      </c>
      <c r="J319" s="34">
        <f>ROUND(Source!AF96*Source!I96,2)</f>
        <v>52.26</v>
      </c>
      <c r="K319" s="42">
        <f>IF(Source!BA96&lt;&gt;0,Source!BA96,1)</f>
        <v>28.93</v>
      </c>
      <c r="L319" s="34">
        <f>Source!HJ96</f>
        <v>1511.88</v>
      </c>
    </row>
    <row r="320" spans="1:12" ht="14.25">
      <c r="A320" s="57"/>
      <c r="B320" s="58">
        <v>3</v>
      </c>
      <c r="C320" s="57" t="s">
        <v>782</v>
      </c>
      <c r="D320" s="41"/>
      <c r="E320" s="37"/>
      <c r="F320" s="37"/>
      <c r="G320" s="37"/>
      <c r="H320" s="34">
        <f>Source!AM96</f>
        <v>0.28</v>
      </c>
      <c r="I320" s="42">
        <f>ROUND(1.35,7)</f>
        <v>1.35</v>
      </c>
      <c r="J320" s="34">
        <f>ROUND(Source!AD96*Source!I96,2)</f>
        <v>1.14</v>
      </c>
      <c r="K320" s="42"/>
      <c r="L320" s="34"/>
    </row>
    <row r="321" spans="1:12" ht="14.25">
      <c r="A321" s="57"/>
      <c r="B321" s="58">
        <v>4</v>
      </c>
      <c r="C321" s="57" t="s">
        <v>793</v>
      </c>
      <c r="D321" s="41"/>
      <c r="E321" s="37"/>
      <c r="F321" s="37"/>
      <c r="G321" s="37"/>
      <c r="H321" s="34">
        <f>Source!AL96</f>
        <v>3.57</v>
      </c>
      <c r="I321" s="42"/>
      <c r="J321" s="34">
        <f>ROUND(Source!AC96*Source!I96,2)</f>
        <v>10.71</v>
      </c>
      <c r="K321" s="42"/>
      <c r="L321" s="34"/>
    </row>
    <row r="322" spans="1:12" ht="14.25">
      <c r="A322" s="57"/>
      <c r="B322" s="57"/>
      <c r="C322" s="59" t="s">
        <v>772</v>
      </c>
      <c r="D322" s="43" t="s">
        <v>773</v>
      </c>
      <c r="E322" s="44">
        <f>Source!AQ96</f>
        <v>1.23</v>
      </c>
      <c r="F322" s="44">
        <f>ROUND(1.35,7)</f>
        <v>1.35</v>
      </c>
      <c r="G322" s="44">
        <f>ROUND(Source!U96,7)</f>
        <v>4.9815</v>
      </c>
      <c r="H322" s="45"/>
      <c r="I322" s="46"/>
      <c r="J322" s="45"/>
      <c r="K322" s="46"/>
      <c r="L322" s="45"/>
    </row>
    <row r="323" spans="1:12" ht="14.25">
      <c r="A323" s="57"/>
      <c r="B323" s="57"/>
      <c r="C323" s="57" t="s">
        <v>774</v>
      </c>
      <c r="D323" s="41"/>
      <c r="E323" s="37"/>
      <c r="F323" s="37"/>
      <c r="G323" s="37"/>
      <c r="H323" s="34">
        <f>H319+H320+H321</f>
        <v>16.75</v>
      </c>
      <c r="I323" s="42"/>
      <c r="J323" s="34">
        <f>J319+J320+J321</f>
        <v>64.11</v>
      </c>
      <c r="K323" s="42"/>
      <c r="L323" s="34"/>
    </row>
    <row r="324" spans="1:12" ht="14.25">
      <c r="A324" s="57"/>
      <c r="B324" s="57"/>
      <c r="C324" s="57" t="s">
        <v>775</v>
      </c>
      <c r="D324" s="41"/>
      <c r="E324" s="37"/>
      <c r="F324" s="37"/>
      <c r="G324" s="37"/>
      <c r="H324" s="34"/>
      <c r="I324" s="42"/>
      <c r="J324" s="34">
        <f>SUM(Q317:Q327)+SUM(V317:V327)+SUM(X317:X327)+SUM(Y317:Y327)</f>
        <v>52.26</v>
      </c>
      <c r="K324" s="42"/>
      <c r="L324" s="34">
        <f>SUM(U317:U327)+SUM(W317:W327)+SUM(Z317:Z327)+SUM(AA317:AA327)</f>
        <v>1511.88</v>
      </c>
    </row>
    <row r="325" spans="1:12" ht="28.5">
      <c r="A325" s="57"/>
      <c r="B325" s="57" t="s">
        <v>173</v>
      </c>
      <c r="C325" s="57" t="s">
        <v>816</v>
      </c>
      <c r="D325" s="41" t="s">
        <v>777</v>
      </c>
      <c r="E325" s="37">
        <f>Source!BZ96</f>
        <v>97</v>
      </c>
      <c r="F325" s="37"/>
      <c r="G325" s="37">
        <f>Source!AT96</f>
        <v>97</v>
      </c>
      <c r="H325" s="34"/>
      <c r="I325" s="42"/>
      <c r="J325" s="34">
        <f>SUM(AG317:AG327)</f>
        <v>50.69</v>
      </c>
      <c r="K325" s="42"/>
      <c r="L325" s="34">
        <f>SUM(AH317:AH327)</f>
        <v>1466.52</v>
      </c>
    </row>
    <row r="326" spans="1:12" ht="28.5">
      <c r="A326" s="59"/>
      <c r="B326" s="59" t="s">
        <v>174</v>
      </c>
      <c r="C326" s="59" t="s">
        <v>817</v>
      </c>
      <c r="D326" s="43" t="s">
        <v>777</v>
      </c>
      <c r="E326" s="44">
        <f>Source!CA96</f>
        <v>51</v>
      </c>
      <c r="F326" s="44"/>
      <c r="G326" s="44">
        <f>Source!AU96</f>
        <v>51</v>
      </c>
      <c r="H326" s="45"/>
      <c r="I326" s="46"/>
      <c r="J326" s="45">
        <f>SUM(AI317:AI327)</f>
        <v>26.65</v>
      </c>
      <c r="K326" s="46"/>
      <c r="L326" s="45">
        <f>SUM(AJ317:AJ327)</f>
        <v>771.06</v>
      </c>
    </row>
    <row r="327" spans="3:53" ht="15">
      <c r="C327" s="102" t="s">
        <v>779</v>
      </c>
      <c r="D327" s="102"/>
      <c r="E327" s="102"/>
      <c r="F327" s="102"/>
      <c r="G327" s="102"/>
      <c r="H327" s="102"/>
      <c r="I327" s="102">
        <f>J319+J320+J321+J325+J326</f>
        <v>141.45</v>
      </c>
      <c r="J327" s="102"/>
      <c r="O327" s="32">
        <f>I327</f>
        <v>141.45</v>
      </c>
      <c r="P327">
        <f>K327</f>
        <v>0</v>
      </c>
      <c r="Q327" s="32">
        <f>J319</f>
        <v>52.26</v>
      </c>
      <c r="R327" s="32">
        <f>J319</f>
        <v>52.26</v>
      </c>
      <c r="U327" s="32">
        <f>L319</f>
        <v>1511.88</v>
      </c>
      <c r="X327">
        <f>0</f>
        <v>0</v>
      </c>
      <c r="Z327">
        <f>0</f>
        <v>0</v>
      </c>
      <c r="AB327" s="32">
        <f>J320</f>
        <v>1.14</v>
      </c>
      <c r="AD327" s="32">
        <f>L320</f>
        <v>0</v>
      </c>
      <c r="AF327" s="32">
        <f>J321</f>
        <v>10.71</v>
      </c>
      <c r="AN327">
        <f>IF(Source!BI96&lt;=1,J319+J320+J321+J325+J326,0)</f>
        <v>0</v>
      </c>
      <c r="AO327">
        <f>IF(Source!BI96&lt;=1,J321,0)</f>
        <v>0</v>
      </c>
      <c r="AP327">
        <f>IF(Source!BI96&lt;=1,J320,0)</f>
        <v>0</v>
      </c>
      <c r="AQ327">
        <f>IF(Source!BI96&lt;=1,J319,0)</f>
        <v>0</v>
      </c>
      <c r="AX327">
        <f>IF(Source!BI96=2,J319+J320+J321+J325+J326,0)</f>
        <v>141.45</v>
      </c>
      <c r="AY327">
        <f>IF(Source!BI96=2,J321,0)</f>
        <v>10.71</v>
      </c>
      <c r="AZ327">
        <f>IF(Source!BI96=2,J320,0)</f>
        <v>1.14</v>
      </c>
      <c r="BA327">
        <f>IF(Source!BI96=2,J319,0)</f>
        <v>52.26</v>
      </c>
    </row>
    <row r="329" spans="1:95" ht="15">
      <c r="A329" s="48"/>
      <c r="B329" s="49"/>
      <c r="C329" s="101" t="s">
        <v>800</v>
      </c>
      <c r="D329" s="101"/>
      <c r="E329" s="101"/>
      <c r="F329" s="101"/>
      <c r="G329" s="101"/>
      <c r="H329" s="101"/>
      <c r="I329" s="51"/>
      <c r="J329" s="52">
        <f>J331+J332+J333+J334</f>
        <v>2957.6000000000004</v>
      </c>
      <c r="K329" s="52"/>
      <c r="L329" s="52"/>
      <c r="CQ329" s="50" t="s">
        <v>800</v>
      </c>
    </row>
    <row r="330" spans="1:12" ht="14.25">
      <c r="A330" s="53"/>
      <c r="B330" s="54"/>
      <c r="C330" s="105" t="s">
        <v>801</v>
      </c>
      <c r="D330" s="104"/>
      <c r="E330" s="104"/>
      <c r="F330" s="104"/>
      <c r="G330" s="104"/>
      <c r="H330" s="104"/>
      <c r="I330" s="55"/>
      <c r="J330" s="56"/>
      <c r="K330" s="56"/>
      <c r="L330" s="56"/>
    </row>
    <row r="331" spans="1:12" ht="14.25">
      <c r="A331" s="53"/>
      <c r="B331" s="54"/>
      <c r="C331" s="104" t="s">
        <v>802</v>
      </c>
      <c r="D331" s="104"/>
      <c r="E331" s="104"/>
      <c r="F331" s="104"/>
      <c r="G331" s="104"/>
      <c r="H331" s="104"/>
      <c r="I331" s="55"/>
      <c r="J331" s="56">
        <f>SUM(Q175:Q327)</f>
        <v>717.26</v>
      </c>
      <c r="K331" s="56"/>
      <c r="L331" s="56"/>
    </row>
    <row r="332" spans="1:12" ht="14.25">
      <c r="A332" s="53"/>
      <c r="B332" s="54"/>
      <c r="C332" s="104" t="s">
        <v>803</v>
      </c>
      <c r="D332" s="104"/>
      <c r="E332" s="104"/>
      <c r="F332" s="104"/>
      <c r="G332" s="104"/>
      <c r="H332" s="104"/>
      <c r="I332" s="55"/>
      <c r="J332" s="56">
        <f>SUM(AB175:AB327)</f>
        <v>2053.2200000000003</v>
      </c>
      <c r="K332" s="56"/>
      <c r="L332" s="56"/>
    </row>
    <row r="333" spans="1:12" ht="14.25">
      <c r="A333" s="53"/>
      <c r="B333" s="54"/>
      <c r="C333" s="104" t="s">
        <v>804</v>
      </c>
      <c r="D333" s="104"/>
      <c r="E333" s="104"/>
      <c r="F333" s="104"/>
      <c r="G333" s="104"/>
      <c r="H333" s="104"/>
      <c r="I333" s="55"/>
      <c r="J333" s="56">
        <f>Source!F101-J338</f>
        <v>187.12</v>
      </c>
      <c r="K333" s="56"/>
      <c r="L333" s="56"/>
    </row>
    <row r="334" spans="1:12" ht="14.25" customHeight="1" hidden="1">
      <c r="A334" s="53"/>
      <c r="B334" s="54"/>
      <c r="C334" s="104" t="s">
        <v>805</v>
      </c>
      <c r="D334" s="104"/>
      <c r="E334" s="104"/>
      <c r="F334" s="104"/>
      <c r="G334" s="104"/>
      <c r="H334" s="104"/>
      <c r="I334" s="55"/>
      <c r="J334" s="56">
        <f>Source!F123</f>
        <v>0</v>
      </c>
      <c r="K334" s="56"/>
      <c r="L334" s="56"/>
    </row>
    <row r="335" spans="1:12" ht="14.25">
      <c r="A335" s="53"/>
      <c r="B335" s="54"/>
      <c r="C335" s="104" t="s">
        <v>806</v>
      </c>
      <c r="D335" s="104"/>
      <c r="E335" s="104"/>
      <c r="F335" s="104"/>
      <c r="G335" s="104"/>
      <c r="H335" s="104"/>
      <c r="I335" s="55"/>
      <c r="J335" s="56">
        <f>SUM(Q175:Q327)+SUM(X175:X327)</f>
        <v>816.58</v>
      </c>
      <c r="K335" s="56"/>
      <c r="L335" s="56"/>
    </row>
    <row r="336" spans="1:12" ht="14.25">
      <c r="A336" s="53"/>
      <c r="B336" s="54"/>
      <c r="C336" s="104" t="s">
        <v>807</v>
      </c>
      <c r="D336" s="104"/>
      <c r="E336" s="104"/>
      <c r="F336" s="104"/>
      <c r="G336" s="104"/>
      <c r="H336" s="104"/>
      <c r="I336" s="55"/>
      <c r="J336" s="56">
        <f>Source!F124</f>
        <v>792.08</v>
      </c>
      <c r="K336" s="56"/>
      <c r="L336" s="56"/>
    </row>
    <row r="337" spans="1:12" ht="14.25">
      <c r="A337" s="53"/>
      <c r="B337" s="54"/>
      <c r="C337" s="104" t="s">
        <v>808</v>
      </c>
      <c r="D337" s="104"/>
      <c r="E337" s="104"/>
      <c r="F337" s="104"/>
      <c r="G337" s="104"/>
      <c r="H337" s="104"/>
      <c r="I337" s="55"/>
      <c r="J337" s="56">
        <f>Source!F125</f>
        <v>416.44</v>
      </c>
      <c r="K337" s="56"/>
      <c r="L337" s="56"/>
    </row>
    <row r="338" spans="1:12" ht="14.25" customHeight="1" hidden="1">
      <c r="A338" s="53"/>
      <c r="B338" s="54"/>
      <c r="C338" s="104" t="s">
        <v>809</v>
      </c>
      <c r="D338" s="104"/>
      <c r="E338" s="104"/>
      <c r="F338" s="104"/>
      <c r="G338" s="104"/>
      <c r="H338" s="104"/>
      <c r="I338" s="55"/>
      <c r="J338" s="56">
        <f>Source!F107</f>
        <v>0</v>
      </c>
      <c r="K338" s="56"/>
      <c r="L338" s="56"/>
    </row>
    <row r="339" spans="1:12" ht="14.25" customHeight="1" hidden="1">
      <c r="A339" s="53"/>
      <c r="B339" s="54"/>
      <c r="C339" s="104" t="s">
        <v>810</v>
      </c>
      <c r="D339" s="104"/>
      <c r="E339" s="104"/>
      <c r="F339" s="104"/>
      <c r="G339" s="104"/>
      <c r="H339" s="104"/>
      <c r="I339" s="55"/>
      <c r="J339" s="56">
        <f>Source!F117</f>
        <v>0</v>
      </c>
      <c r="K339" s="56"/>
      <c r="L339" s="56"/>
    </row>
    <row r="340" spans="1:12" ht="15">
      <c r="A340" s="48"/>
      <c r="B340" s="49"/>
      <c r="C340" s="101" t="s">
        <v>811</v>
      </c>
      <c r="D340" s="101"/>
      <c r="E340" s="101"/>
      <c r="F340" s="101"/>
      <c r="G340" s="101"/>
      <c r="H340" s="101"/>
      <c r="I340" s="51"/>
      <c r="J340" s="52">
        <f>Source!F126</f>
        <v>4166.12</v>
      </c>
      <c r="K340" s="52"/>
      <c r="L340" s="52"/>
    </row>
    <row r="341" spans="1:12" ht="14.25" customHeight="1" hidden="1">
      <c r="A341" s="53"/>
      <c r="B341" s="54"/>
      <c r="C341" s="105" t="s">
        <v>801</v>
      </c>
      <c r="D341" s="104"/>
      <c r="E341" s="104"/>
      <c r="F341" s="104"/>
      <c r="G341" s="104"/>
      <c r="H341" s="104"/>
      <c r="I341" s="55"/>
      <c r="J341" s="56"/>
      <c r="K341" s="56"/>
      <c r="L341" s="56"/>
    </row>
    <row r="342" spans="1:12" ht="14.25" customHeight="1" hidden="1">
      <c r="A342" s="53"/>
      <c r="B342" s="54"/>
      <c r="C342" s="104" t="s">
        <v>812</v>
      </c>
      <c r="D342" s="104"/>
      <c r="E342" s="104"/>
      <c r="F342" s="104"/>
      <c r="G342" s="104"/>
      <c r="H342" s="104"/>
      <c r="I342" s="55"/>
      <c r="J342" s="56"/>
      <c r="K342" s="56"/>
      <c r="L342" s="56">
        <f>SUM(BS175:BS327)</f>
        <v>0</v>
      </c>
    </row>
    <row r="343" spans="1:12" ht="14.25" customHeight="1" hidden="1">
      <c r="A343" s="53"/>
      <c r="B343" s="54"/>
      <c r="C343" s="104" t="s">
        <v>813</v>
      </c>
      <c r="D343" s="104"/>
      <c r="E343" s="104"/>
      <c r="F343" s="104"/>
      <c r="G343" s="104"/>
      <c r="H343" s="104"/>
      <c r="I343" s="55"/>
      <c r="J343" s="56"/>
      <c r="K343" s="56"/>
      <c r="L343" s="56">
        <f>SUM(BT175:BT327)</f>
        <v>0</v>
      </c>
    </row>
    <row r="344" spans="3:10" ht="14.25">
      <c r="C344" s="103" t="str">
        <f>Source!H127</f>
        <v>Итого прямые затраты</v>
      </c>
      <c r="D344" s="103"/>
      <c r="E344" s="103"/>
      <c r="F344" s="103"/>
      <c r="G344" s="103"/>
      <c r="H344" s="103"/>
      <c r="I344" s="103"/>
      <c r="J344" s="33">
        <f>IF(Source!W127=0,"",Source!W127)</f>
        <v>2958</v>
      </c>
    </row>
    <row r="345" spans="3:10" ht="14.25">
      <c r="C345" s="103" t="str">
        <f>Source!H128</f>
        <v>Накладные расходы</v>
      </c>
      <c r="D345" s="103"/>
      <c r="E345" s="103"/>
      <c r="F345" s="103"/>
      <c r="G345" s="103"/>
      <c r="H345" s="103"/>
      <c r="I345" s="103"/>
      <c r="J345" s="33">
        <f>IF(Source!W128=0,"",Source!W128)</f>
        <v>792</v>
      </c>
    </row>
    <row r="346" spans="3:10" ht="14.25">
      <c r="C346" s="103" t="str">
        <f>Source!H129</f>
        <v>Сметная прибыль</v>
      </c>
      <c r="D346" s="103"/>
      <c r="E346" s="103"/>
      <c r="F346" s="103"/>
      <c r="G346" s="103"/>
      <c r="H346" s="103"/>
      <c r="I346" s="103"/>
      <c r="J346" s="33">
        <f>IF(Source!W129=0,"",Source!W129)</f>
        <v>416</v>
      </c>
    </row>
    <row r="347" spans="3:10" ht="14.25">
      <c r="C347" s="103" t="str">
        <f>Source!H130</f>
        <v>Итого</v>
      </c>
      <c r="D347" s="103"/>
      <c r="E347" s="103"/>
      <c r="F347" s="103"/>
      <c r="G347" s="103"/>
      <c r="H347" s="103"/>
      <c r="I347" s="103"/>
      <c r="J347" s="34">
        <f>IF(Source!W130=0,"",Source!W130)</f>
        <v>4166</v>
      </c>
    </row>
    <row r="348" spans="3:10" ht="14.25">
      <c r="C348" s="103" t="str">
        <f>Source!H132</f>
        <v>В том числе монтажные работы</v>
      </c>
      <c r="D348" s="103"/>
      <c r="E348" s="103"/>
      <c r="F348" s="103"/>
      <c r="G348" s="103"/>
      <c r="H348" s="103"/>
      <c r="I348" s="103"/>
      <c r="J348" s="34">
        <f>IF(Source!W132=0,"",Source!W132)</f>
        <v>4166.12</v>
      </c>
    </row>
    <row r="350" spans="1:12" ht="16.5">
      <c r="A350" s="106" t="s">
        <v>830</v>
      </c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</row>
    <row r="351" spans="1:56" ht="71.25">
      <c r="A351" s="57">
        <v>25</v>
      </c>
      <c r="B351" s="57" t="str">
        <f>Source!F141</f>
        <v>04-01-076-1</v>
      </c>
      <c r="C351" s="57" t="str">
        <f>Source!G141</f>
        <v>Бурение пилотной скважины машиной горизонтального бурения прессово-шнековой с усилием продавливания 203 ТС (2000кН) фирмы SHMIDT, KRANZ-GRUPPE</v>
      </c>
      <c r="D351" s="41" t="str">
        <f>Source!H141</f>
        <v>100 м бурения скважины</v>
      </c>
      <c r="E351" s="37">
        <f>Source!K141</f>
        <v>0.74</v>
      </c>
      <c r="F351" s="37"/>
      <c r="G351" s="37">
        <f>Source!I141</f>
        <v>0.74</v>
      </c>
      <c r="H351" s="34"/>
      <c r="I351" s="42"/>
      <c r="J351" s="34"/>
      <c r="K351" s="42"/>
      <c r="L351" s="34"/>
      <c r="AG351">
        <f>Source!X141</f>
        <v>191.19</v>
      </c>
      <c r="AH351">
        <f>Source!HK141</f>
        <v>5531.2</v>
      </c>
      <c r="AI351">
        <f>Source!Y141</f>
        <v>81.17</v>
      </c>
      <c r="AJ351">
        <f>Source!HL141</f>
        <v>2348.15</v>
      </c>
      <c r="AS351">
        <f>IF(Source!BI141&lt;=1,AH351,0)</f>
        <v>5531.2</v>
      </c>
      <c r="AT351">
        <f>IF(Source!BI141&lt;=1,AJ351,0)</f>
        <v>2348.15</v>
      </c>
      <c r="BC351">
        <f>IF(Source!BI141=2,AH351,0)</f>
        <v>0</v>
      </c>
      <c r="BD351">
        <f>IF(Source!BI141=2,AJ351,0)</f>
        <v>0</v>
      </c>
    </row>
    <row r="353" ht="12.75">
      <c r="C353" s="31" t="str">
        <f>"Объем: "&amp;Source!K141&amp;"=74/"&amp;"100"</f>
        <v>Объем: 0,74=74/100</v>
      </c>
    </row>
    <row r="354" spans="1:12" ht="14.25">
      <c r="A354" s="57"/>
      <c r="B354" s="58">
        <v>1</v>
      </c>
      <c r="C354" s="57" t="s">
        <v>771</v>
      </c>
      <c r="D354" s="41"/>
      <c r="E354" s="37"/>
      <c r="F354" s="37"/>
      <c r="G354" s="37"/>
      <c r="H354" s="34">
        <f>Source!AO141</f>
        <v>100.4</v>
      </c>
      <c r="I354" s="42"/>
      <c r="J354" s="34">
        <f>ROUND(Source!AF141*Source!I141,2)</f>
        <v>74.3</v>
      </c>
      <c r="K354" s="42">
        <f>IF(Source!BA141&lt;&gt;0,Source!BA141,1)</f>
        <v>28.93</v>
      </c>
      <c r="L354" s="34">
        <f>Source!HJ141</f>
        <v>2149.5</v>
      </c>
    </row>
    <row r="355" spans="1:12" ht="14.25">
      <c r="A355" s="57"/>
      <c r="B355" s="58">
        <v>3</v>
      </c>
      <c r="C355" s="57" t="s">
        <v>782</v>
      </c>
      <c r="D355" s="41"/>
      <c r="E355" s="37"/>
      <c r="F355" s="37"/>
      <c r="G355" s="37"/>
      <c r="H355" s="34">
        <f>Source!AM141</f>
        <v>12707.04</v>
      </c>
      <c r="I355" s="42"/>
      <c r="J355" s="34">
        <f>ROUND(Source!AD141*Source!I141,2)</f>
        <v>9403.21</v>
      </c>
      <c r="K355" s="42"/>
      <c r="L355" s="34"/>
    </row>
    <row r="356" spans="1:12" ht="14.25">
      <c r="A356" s="57"/>
      <c r="B356" s="58">
        <v>2</v>
      </c>
      <c r="C356" s="57" t="s">
        <v>783</v>
      </c>
      <c r="D356" s="41"/>
      <c r="E356" s="37"/>
      <c r="F356" s="37"/>
      <c r="G356" s="37"/>
      <c r="H356" s="34">
        <f>Source!AN141</f>
        <v>143.34</v>
      </c>
      <c r="I356" s="42"/>
      <c r="J356" s="47">
        <f>ROUND(Source!AE141*Source!I141,2)</f>
        <v>106.07</v>
      </c>
      <c r="K356" s="42">
        <f>IF(Source!BS141&lt;&gt;0,Source!BS141,1)</f>
        <v>28.93</v>
      </c>
      <c r="L356" s="47">
        <f>Source!HI141</f>
        <v>3068.61</v>
      </c>
    </row>
    <row r="357" spans="1:12" ht="14.25">
      <c r="A357" s="57"/>
      <c r="B357" s="58">
        <v>4</v>
      </c>
      <c r="C357" s="57" t="s">
        <v>793</v>
      </c>
      <c r="D357" s="41"/>
      <c r="E357" s="37"/>
      <c r="F357" s="37"/>
      <c r="G357" s="37"/>
      <c r="H357" s="34">
        <f>Source!AL141</f>
        <v>9.64</v>
      </c>
      <c r="I357" s="42"/>
      <c r="J357" s="34">
        <f>ROUND(Source!AC141*Source!I141,2)</f>
        <v>7.13</v>
      </c>
      <c r="K357" s="42"/>
      <c r="L357" s="34"/>
    </row>
    <row r="358" spans="1:12" ht="14.25">
      <c r="A358" s="57"/>
      <c r="B358" s="57"/>
      <c r="C358" s="57" t="s">
        <v>772</v>
      </c>
      <c r="D358" s="41" t="s">
        <v>773</v>
      </c>
      <c r="E358" s="37">
        <f>Source!AQ141</f>
        <v>9.97</v>
      </c>
      <c r="F358" s="37"/>
      <c r="G358" s="37">
        <f>ROUND(Source!U141,7)</f>
        <v>7.3778</v>
      </c>
      <c r="H358" s="34"/>
      <c r="I358" s="42"/>
      <c r="J358" s="34"/>
      <c r="K358" s="42"/>
      <c r="L358" s="34"/>
    </row>
    <row r="359" spans="1:12" ht="14.25">
      <c r="A359" s="57"/>
      <c r="B359" s="57"/>
      <c r="C359" s="59" t="s">
        <v>784</v>
      </c>
      <c r="D359" s="43" t="s">
        <v>773</v>
      </c>
      <c r="E359" s="44">
        <f>Source!AR141</f>
        <v>10.01</v>
      </c>
      <c r="F359" s="44"/>
      <c r="G359" s="44">
        <f>ROUND(Source!V141,7)</f>
        <v>7.4074</v>
      </c>
      <c r="H359" s="45"/>
      <c r="I359" s="46"/>
      <c r="J359" s="45"/>
      <c r="K359" s="46"/>
      <c r="L359" s="45"/>
    </row>
    <row r="360" spans="1:12" ht="14.25">
      <c r="A360" s="57"/>
      <c r="B360" s="57"/>
      <c r="C360" s="57" t="s">
        <v>774</v>
      </c>
      <c r="D360" s="41"/>
      <c r="E360" s="37"/>
      <c r="F360" s="37"/>
      <c r="G360" s="37"/>
      <c r="H360" s="34">
        <f>H354+H355+H357</f>
        <v>12817.08</v>
      </c>
      <c r="I360" s="42"/>
      <c r="J360" s="34">
        <f>J354+J355+J357</f>
        <v>9484.639999999998</v>
      </c>
      <c r="K360" s="42"/>
      <c r="L360" s="34"/>
    </row>
    <row r="361" spans="1:12" ht="14.25">
      <c r="A361" s="57"/>
      <c r="B361" s="57"/>
      <c r="C361" s="57" t="s">
        <v>775</v>
      </c>
      <c r="D361" s="41"/>
      <c r="E361" s="37"/>
      <c r="F361" s="37"/>
      <c r="G361" s="37"/>
      <c r="H361" s="34"/>
      <c r="I361" s="42"/>
      <c r="J361" s="34">
        <f>SUM(Q351:Q364)+SUM(V351:V364)+SUM(X351:X364)+SUM(Y351:Y364)</f>
        <v>180.37</v>
      </c>
      <c r="K361" s="42"/>
      <c r="L361" s="34">
        <f>SUM(U351:U364)+SUM(W351:W364)+SUM(Z351:Z364)+SUM(AA351:AA364)</f>
        <v>5218.110000000001</v>
      </c>
    </row>
    <row r="362" spans="1:12" ht="14.25">
      <c r="A362" s="57"/>
      <c r="B362" s="57" t="s">
        <v>239</v>
      </c>
      <c r="C362" s="57" t="s">
        <v>831</v>
      </c>
      <c r="D362" s="41" t="s">
        <v>777</v>
      </c>
      <c r="E362" s="37">
        <f>Source!BZ141</f>
        <v>106</v>
      </c>
      <c r="F362" s="37"/>
      <c r="G362" s="37">
        <f>Source!AT141</f>
        <v>106</v>
      </c>
      <c r="H362" s="34"/>
      <c r="I362" s="42"/>
      <c r="J362" s="34">
        <f>SUM(AG351:AG364)</f>
        <v>191.19</v>
      </c>
      <c r="K362" s="42"/>
      <c r="L362" s="34">
        <f>SUM(AH351:AH364)</f>
        <v>5531.2</v>
      </c>
    </row>
    <row r="363" spans="1:12" ht="14.25">
      <c r="A363" s="59"/>
      <c r="B363" s="59" t="s">
        <v>240</v>
      </c>
      <c r="C363" s="59" t="s">
        <v>832</v>
      </c>
      <c r="D363" s="43" t="s">
        <v>777</v>
      </c>
      <c r="E363" s="44">
        <f>Source!CA141</f>
        <v>45</v>
      </c>
      <c r="F363" s="44"/>
      <c r="G363" s="44">
        <f>Source!AU141</f>
        <v>45</v>
      </c>
      <c r="H363" s="45"/>
      <c r="I363" s="46"/>
      <c r="J363" s="45">
        <f>SUM(AI351:AI364)</f>
        <v>81.17</v>
      </c>
      <c r="K363" s="46"/>
      <c r="L363" s="45">
        <f>SUM(AJ351:AJ364)</f>
        <v>2348.15</v>
      </c>
    </row>
    <row r="364" spans="3:53" ht="15">
      <c r="C364" s="102" t="s">
        <v>779</v>
      </c>
      <c r="D364" s="102"/>
      <c r="E364" s="102"/>
      <c r="F364" s="102"/>
      <c r="G364" s="102"/>
      <c r="H364" s="102"/>
      <c r="I364" s="102">
        <f>J354+J355+J357+J362+J363</f>
        <v>9756.999999999998</v>
      </c>
      <c r="J364" s="102"/>
      <c r="O364" s="32">
        <f>I364</f>
        <v>9756.999999999998</v>
      </c>
      <c r="P364">
        <f>K364</f>
        <v>0</v>
      </c>
      <c r="Q364" s="32">
        <f>J354</f>
        <v>74.3</v>
      </c>
      <c r="R364" s="32">
        <f>J354</f>
        <v>74.3</v>
      </c>
      <c r="U364" s="32">
        <f>L354</f>
        <v>2149.5</v>
      </c>
      <c r="X364" s="32">
        <f>J356</f>
        <v>106.07</v>
      </c>
      <c r="Z364" s="32">
        <f>L356</f>
        <v>3068.61</v>
      </c>
      <c r="AB364" s="32">
        <f>J355</f>
        <v>9403.21</v>
      </c>
      <c r="AD364" s="32">
        <f>L355</f>
        <v>0</v>
      </c>
      <c r="AF364" s="32">
        <f>J357</f>
        <v>7.13</v>
      </c>
      <c r="AN364">
        <f>IF(Source!BI141&lt;=1,J354+J355+J357+J362+J363,0)</f>
        <v>9756.999999999998</v>
      </c>
      <c r="AO364">
        <f>IF(Source!BI141&lt;=1,J357,0)</f>
        <v>7.13</v>
      </c>
      <c r="AP364">
        <f>IF(Source!BI141&lt;=1,J355,0)</f>
        <v>9403.21</v>
      </c>
      <c r="AQ364">
        <f>IF(Source!BI141&lt;=1,J354,0)</f>
        <v>74.3</v>
      </c>
      <c r="AX364">
        <f>IF(Source!BI141=2,J354+J355+J357+J362+J363,0)</f>
        <v>0</v>
      </c>
      <c r="AY364">
        <f>IF(Source!BI141=2,J357,0)</f>
        <v>0</v>
      </c>
      <c r="AZ364">
        <f>IF(Source!BI141=2,J355,0)</f>
        <v>0</v>
      </c>
      <c r="BA364">
        <f>IF(Source!BI141=2,J354,0)</f>
        <v>0</v>
      </c>
    </row>
    <row r="365" spans="1:56" ht="249.75" customHeight="1">
      <c r="A365" s="57">
        <v>26</v>
      </c>
      <c r="B365" s="57" t="str">
        <f>Source!F142</f>
        <v>04-01-077-9</v>
      </c>
      <c r="C365" s="57" t="s">
        <v>833</v>
      </c>
      <c r="D365" s="41" t="str">
        <f>Source!H142</f>
        <v>100 м бурения скважины</v>
      </c>
      <c r="E365" s="37">
        <f>Source!K142</f>
        <v>0.74</v>
      </c>
      <c r="F365" s="37"/>
      <c r="G365" s="37">
        <f>Source!I142</f>
        <v>0.74</v>
      </c>
      <c r="H365" s="34"/>
      <c r="I365" s="42"/>
      <c r="J365" s="34"/>
      <c r="K365" s="42"/>
      <c r="L365" s="34"/>
      <c r="AG365">
        <f>Source!X142</f>
        <v>465.71</v>
      </c>
      <c r="AH365">
        <f>Source!HK142</f>
        <v>13473.02</v>
      </c>
      <c r="AI365">
        <f>Source!Y142</f>
        <v>197.71</v>
      </c>
      <c r="AJ365">
        <f>Source!HL142</f>
        <v>5719.68</v>
      </c>
      <c r="AS365">
        <f>IF(Source!BI142&lt;=1,AH365,0)</f>
        <v>13473.02</v>
      </c>
      <c r="AT365">
        <f>IF(Source!BI142&lt;=1,AJ365,0)</f>
        <v>5719.68</v>
      </c>
      <c r="BC365">
        <f>IF(Source!BI142=2,AH365,0)</f>
        <v>0</v>
      </c>
      <c r="BD365">
        <f>IF(Source!BI142=2,AJ365,0)</f>
        <v>0</v>
      </c>
    </row>
    <row r="367" ht="12.75">
      <c r="C367" s="31" t="str">
        <f>"Объем: "&amp;Source!K142&amp;"=74/"&amp;"100"</f>
        <v>Объем: 0,74=74/100</v>
      </c>
    </row>
    <row r="368" spans="1:12" ht="14.25">
      <c r="A368" s="57"/>
      <c r="B368" s="58">
        <v>1</v>
      </c>
      <c r="C368" s="57" t="s">
        <v>771</v>
      </c>
      <c r="D368" s="41"/>
      <c r="E368" s="37"/>
      <c r="F368" s="37"/>
      <c r="G368" s="37"/>
      <c r="H368" s="34">
        <f>Source!AO142</f>
        <v>818.68</v>
      </c>
      <c r="I368" s="42">
        <f>ROUND(0.3385,7)</f>
        <v>0.3385</v>
      </c>
      <c r="J368" s="34">
        <f>ROUND(Source!AF142*Source!I142,2)</f>
        <v>205.07</v>
      </c>
      <c r="K368" s="42">
        <f>IF(Source!BA142&lt;&gt;0,Source!BA142,1)</f>
        <v>28.93</v>
      </c>
      <c r="L368" s="34">
        <f>Source!HJ142</f>
        <v>5932.68</v>
      </c>
    </row>
    <row r="369" spans="1:12" ht="14.25">
      <c r="A369" s="57"/>
      <c r="B369" s="58">
        <v>3</v>
      </c>
      <c r="C369" s="57" t="s">
        <v>782</v>
      </c>
      <c r="D369" s="41"/>
      <c r="E369" s="37"/>
      <c r="F369" s="37"/>
      <c r="G369" s="37"/>
      <c r="H369" s="34">
        <f>Source!AM142</f>
        <v>52399.09</v>
      </c>
      <c r="I369" s="42">
        <f>ROUND(0.3385,7)</f>
        <v>0.3385</v>
      </c>
      <c r="J369" s="34">
        <f>ROUND(Source!AD142*Source!I142,2)</f>
        <v>13125.45</v>
      </c>
      <c r="K369" s="42"/>
      <c r="L369" s="34"/>
    </row>
    <row r="370" spans="1:12" ht="14.25">
      <c r="A370" s="57"/>
      <c r="B370" s="58">
        <v>2</v>
      </c>
      <c r="C370" s="57" t="s">
        <v>783</v>
      </c>
      <c r="D370" s="41"/>
      <c r="E370" s="37"/>
      <c r="F370" s="37"/>
      <c r="G370" s="37"/>
      <c r="H370" s="34">
        <f>Source!AN142</f>
        <v>935.29</v>
      </c>
      <c r="I370" s="42">
        <f>ROUND(0.3385,7)</f>
        <v>0.3385</v>
      </c>
      <c r="J370" s="47">
        <f>ROUND(Source!AE142*Source!I142,2)</f>
        <v>234.28</v>
      </c>
      <c r="K370" s="42">
        <f>IF(Source!BS142&lt;&gt;0,Source!BS142,1)</f>
        <v>28.93</v>
      </c>
      <c r="L370" s="47">
        <f>Source!HI142</f>
        <v>6777.72</v>
      </c>
    </row>
    <row r="371" spans="1:12" ht="14.25">
      <c r="A371" s="57"/>
      <c r="B371" s="58">
        <v>4</v>
      </c>
      <c r="C371" s="57" t="s">
        <v>793</v>
      </c>
      <c r="D371" s="41"/>
      <c r="E371" s="37"/>
      <c r="F371" s="37"/>
      <c r="G371" s="37"/>
      <c r="H371" s="34">
        <f>Source!AL142</f>
        <v>704.01</v>
      </c>
      <c r="I371" s="42"/>
      <c r="J371" s="34">
        <f>ROUND(Source!AC142*Source!I142,2)</f>
        <v>520.97</v>
      </c>
      <c r="K371" s="42"/>
      <c r="L371" s="34"/>
    </row>
    <row r="372" spans="1:12" ht="14.25">
      <c r="A372" s="57"/>
      <c r="B372" s="57"/>
      <c r="C372" s="57" t="s">
        <v>772</v>
      </c>
      <c r="D372" s="41" t="s">
        <v>773</v>
      </c>
      <c r="E372" s="37">
        <f>Source!AQ142</f>
        <v>83.71</v>
      </c>
      <c r="F372" s="37">
        <f>ROUND(0.3385,7)</f>
        <v>0.3385</v>
      </c>
      <c r="G372" s="37">
        <f>ROUND(Source!U142,7)</f>
        <v>20.9685179</v>
      </c>
      <c r="H372" s="34"/>
      <c r="I372" s="42"/>
      <c r="J372" s="34"/>
      <c r="K372" s="42"/>
      <c r="L372" s="34"/>
    </row>
    <row r="373" spans="1:12" ht="14.25">
      <c r="A373" s="57"/>
      <c r="B373" s="57"/>
      <c r="C373" s="59" t="s">
        <v>784</v>
      </c>
      <c r="D373" s="43" t="s">
        <v>773</v>
      </c>
      <c r="E373" s="44">
        <f>Source!AR142</f>
        <v>72.12</v>
      </c>
      <c r="F373" s="44">
        <f>ROUND(0.3385,7)</f>
        <v>0.3385</v>
      </c>
      <c r="G373" s="44">
        <f>ROUND(Source!V142,7)</f>
        <v>18.0653388</v>
      </c>
      <c r="H373" s="45"/>
      <c r="I373" s="46"/>
      <c r="J373" s="45"/>
      <c r="K373" s="46"/>
      <c r="L373" s="45"/>
    </row>
    <row r="374" spans="1:12" ht="14.25">
      <c r="A374" s="57"/>
      <c r="B374" s="57"/>
      <c r="C374" s="57" t="s">
        <v>774</v>
      </c>
      <c r="D374" s="41"/>
      <c r="E374" s="37"/>
      <c r="F374" s="37"/>
      <c r="G374" s="37"/>
      <c r="H374" s="34">
        <f>H368+H369+H371</f>
        <v>53921.78</v>
      </c>
      <c r="I374" s="42"/>
      <c r="J374" s="34">
        <f>J368+J369+J371</f>
        <v>13851.49</v>
      </c>
      <c r="K374" s="42"/>
      <c r="L374" s="34"/>
    </row>
    <row r="375" spans="1:12" ht="14.25">
      <c r="A375" s="57"/>
      <c r="B375" s="57"/>
      <c r="C375" s="57" t="s">
        <v>775</v>
      </c>
      <c r="D375" s="41"/>
      <c r="E375" s="37"/>
      <c r="F375" s="37"/>
      <c r="G375" s="37"/>
      <c r="H375" s="34"/>
      <c r="I375" s="42"/>
      <c r="J375" s="34">
        <f>SUM(Q365:Q378)+SUM(V365:V378)+SUM(X365:X378)+SUM(Y365:Y378)</f>
        <v>439.35</v>
      </c>
      <c r="K375" s="42"/>
      <c r="L375" s="34">
        <f>SUM(U365:U378)+SUM(W365:W378)+SUM(Z365:Z378)+SUM(AA365:AA378)</f>
        <v>12710.400000000001</v>
      </c>
    </row>
    <row r="376" spans="1:12" ht="14.25">
      <c r="A376" s="57"/>
      <c r="B376" s="57" t="s">
        <v>239</v>
      </c>
      <c r="C376" s="57" t="s">
        <v>831</v>
      </c>
      <c r="D376" s="41" t="s">
        <v>777</v>
      </c>
      <c r="E376" s="37">
        <f>Source!BZ142</f>
        <v>106</v>
      </c>
      <c r="F376" s="37"/>
      <c r="G376" s="37">
        <f>Source!AT142</f>
        <v>106</v>
      </c>
      <c r="H376" s="34"/>
      <c r="I376" s="42"/>
      <c r="J376" s="34">
        <f>SUM(AG365:AG378)</f>
        <v>465.71</v>
      </c>
      <c r="K376" s="42"/>
      <c r="L376" s="34">
        <f>SUM(AH365:AH378)</f>
        <v>13473.02</v>
      </c>
    </row>
    <row r="377" spans="1:12" ht="14.25">
      <c r="A377" s="59"/>
      <c r="B377" s="59" t="s">
        <v>240</v>
      </c>
      <c r="C377" s="59" t="s">
        <v>832</v>
      </c>
      <c r="D377" s="43" t="s">
        <v>777</v>
      </c>
      <c r="E377" s="44">
        <f>Source!CA142</f>
        <v>45</v>
      </c>
      <c r="F377" s="44"/>
      <c r="G377" s="44">
        <f>Source!AU142</f>
        <v>45</v>
      </c>
      <c r="H377" s="45"/>
      <c r="I377" s="46"/>
      <c r="J377" s="45">
        <f>SUM(AI365:AI378)</f>
        <v>197.71</v>
      </c>
      <c r="K377" s="46"/>
      <c r="L377" s="45">
        <f>SUM(AJ365:AJ378)</f>
        <v>5719.68</v>
      </c>
    </row>
    <row r="378" spans="3:53" ht="15">
      <c r="C378" s="102" t="s">
        <v>779</v>
      </c>
      <c r="D378" s="102"/>
      <c r="E378" s="102"/>
      <c r="F378" s="102"/>
      <c r="G378" s="102"/>
      <c r="H378" s="102"/>
      <c r="I378" s="102">
        <f>J368+J369+J371+J376+J377</f>
        <v>14514.909999999998</v>
      </c>
      <c r="J378" s="102"/>
      <c r="O378" s="32">
        <f>I378</f>
        <v>14514.909999999998</v>
      </c>
      <c r="P378">
        <f>K378</f>
        <v>0</v>
      </c>
      <c r="Q378" s="32">
        <f>J368</f>
        <v>205.07</v>
      </c>
      <c r="R378" s="32">
        <f>J368</f>
        <v>205.07</v>
      </c>
      <c r="U378" s="32">
        <f>L368</f>
        <v>5932.68</v>
      </c>
      <c r="X378" s="32">
        <f>J370</f>
        <v>234.28</v>
      </c>
      <c r="Z378" s="32">
        <f>L370</f>
        <v>6777.72</v>
      </c>
      <c r="AB378" s="32">
        <f>J369</f>
        <v>13125.45</v>
      </c>
      <c r="AD378" s="32">
        <f>L369</f>
        <v>0</v>
      </c>
      <c r="AF378" s="32">
        <f>J371</f>
        <v>520.97</v>
      </c>
      <c r="AN378">
        <f>IF(Source!BI142&lt;=1,J368+J369+J371+J376+J377,0)</f>
        <v>14514.909999999998</v>
      </c>
      <c r="AO378">
        <f>IF(Source!BI142&lt;=1,J371,0)</f>
        <v>520.97</v>
      </c>
      <c r="AP378">
        <f>IF(Source!BI142&lt;=1,J369,0)</f>
        <v>13125.45</v>
      </c>
      <c r="AQ378">
        <f>IF(Source!BI142&lt;=1,J368,0)</f>
        <v>205.07</v>
      </c>
      <c r="AX378">
        <f>IF(Source!BI142=2,J368+J369+J371+J376+J377,0)</f>
        <v>0</v>
      </c>
      <c r="AY378">
        <f>IF(Source!BI142=2,J371,0)</f>
        <v>0</v>
      </c>
      <c r="AZ378">
        <f>IF(Source!BI142=2,J369,0)</f>
        <v>0</v>
      </c>
      <c r="BA378">
        <f>IF(Source!BI142=2,J368,0)</f>
        <v>0</v>
      </c>
    </row>
    <row r="379" spans="1:56" ht="28.5">
      <c r="A379" s="57">
        <v>27</v>
      </c>
      <c r="B379" s="57" t="str">
        <f>Source!F143</f>
        <v>507-2855</v>
      </c>
      <c r="C379" s="57" t="str">
        <f>Source!G143</f>
        <v>Труба ПЭ 100 SDR 17, наружный диаметр 110 мм (ГОСТ 18599-2001)</v>
      </c>
      <c r="D379" s="41" t="str">
        <f>Source!H143</f>
        <v>10 м</v>
      </c>
      <c r="E379" s="37">
        <f>Source!K143</f>
        <v>7.4</v>
      </c>
      <c r="F379" s="37"/>
      <c r="G379" s="37">
        <f>Source!I143</f>
        <v>7.4</v>
      </c>
      <c r="H379" s="34">
        <f>Source!AL143</f>
        <v>552.97</v>
      </c>
      <c r="I379" s="42"/>
      <c r="J379" s="34">
        <f>ROUND(Source!AC143*Source!I143,2)</f>
        <v>4091.98</v>
      </c>
      <c r="K379" s="42"/>
      <c r="L379" s="34"/>
      <c r="AG379">
        <f>Source!X143</f>
        <v>0</v>
      </c>
      <c r="AH379">
        <f>Source!HK143</f>
        <v>0</v>
      </c>
      <c r="AI379">
        <f>Source!Y143</f>
        <v>0</v>
      </c>
      <c r="AJ379">
        <f>Source!HL143</f>
        <v>0</v>
      </c>
      <c r="AS379">
        <f>IF(Source!BI143&lt;=1,AH379,0)</f>
        <v>0</v>
      </c>
      <c r="AT379">
        <f>IF(Source!BI143&lt;=1,AJ379,0)</f>
        <v>0</v>
      </c>
      <c r="BC379">
        <f>IF(Source!BI143=2,AH379,0)</f>
        <v>0</v>
      </c>
      <c r="BD379">
        <f>IF(Source!BI143=2,AJ379,0)</f>
        <v>0</v>
      </c>
    </row>
    <row r="381" spans="1:12" ht="12.75">
      <c r="A381" s="35"/>
      <c r="B381" s="35"/>
      <c r="C381" s="36" t="str">
        <f>"Объем: "&amp;Source!K143&amp;"=74/"&amp;"10"</f>
        <v>Объем: 7,4=74/10</v>
      </c>
      <c r="D381" s="35"/>
      <c r="E381" s="35"/>
      <c r="F381" s="35"/>
      <c r="G381" s="35"/>
      <c r="H381" s="35"/>
      <c r="I381" s="35"/>
      <c r="J381" s="35"/>
      <c r="K381" s="35"/>
      <c r="L381" s="35"/>
    </row>
    <row r="382" spans="3:53" ht="15">
      <c r="C382" s="102" t="s">
        <v>779</v>
      </c>
      <c r="D382" s="102"/>
      <c r="E382" s="102"/>
      <c r="F382" s="102"/>
      <c r="G382" s="102"/>
      <c r="H382" s="102"/>
      <c r="I382" s="102">
        <f>J379</f>
        <v>4091.98</v>
      </c>
      <c r="J382" s="102"/>
      <c r="O382" s="32">
        <f>I382</f>
        <v>4091.98</v>
      </c>
      <c r="P382">
        <f>K382</f>
        <v>0</v>
      </c>
      <c r="Q382">
        <f>0</f>
        <v>0</v>
      </c>
      <c r="R382">
        <f>0</f>
        <v>0</v>
      </c>
      <c r="U382">
        <f>0</f>
        <v>0</v>
      </c>
      <c r="X382">
        <f>0</f>
        <v>0</v>
      </c>
      <c r="Z382">
        <f>0</f>
        <v>0</v>
      </c>
      <c r="AB382">
        <f>0</f>
        <v>0</v>
      </c>
      <c r="AD382">
        <f>0</f>
        <v>0</v>
      </c>
      <c r="AF382" s="32">
        <f>I382</f>
        <v>4091.98</v>
      </c>
      <c r="AN382">
        <f>IF(Source!BI143&lt;=1,J379,0)</f>
        <v>0</v>
      </c>
      <c r="AO382">
        <f>IF(Source!BI143&lt;=1,I382,0)</f>
        <v>0</v>
      </c>
      <c r="AP382">
        <f>IF(Source!BI143&lt;=1,0,0)</f>
        <v>0</v>
      </c>
      <c r="AQ382">
        <f>IF(Source!BI143&lt;=1,0,0)</f>
        <v>0</v>
      </c>
      <c r="AX382">
        <f>IF(Source!BI143=2,J379,0)</f>
        <v>4091.98</v>
      </c>
      <c r="AY382">
        <f>IF(Source!BI143=2,I382,0)</f>
        <v>4091.98</v>
      </c>
      <c r="AZ382">
        <f>IF(Source!BI143=2,0,0)</f>
        <v>0</v>
      </c>
      <c r="BA382">
        <f>IF(Source!BI143=2,0,0)</f>
        <v>0</v>
      </c>
    </row>
    <row r="384" spans="1:95" ht="15">
      <c r="A384" s="48"/>
      <c r="B384" s="49"/>
      <c r="C384" s="101" t="s">
        <v>800</v>
      </c>
      <c r="D384" s="101"/>
      <c r="E384" s="101"/>
      <c r="F384" s="101"/>
      <c r="G384" s="101"/>
      <c r="H384" s="101"/>
      <c r="I384" s="51"/>
      <c r="J384" s="52">
        <f>J386+J387+J388+J389</f>
        <v>27428.11</v>
      </c>
      <c r="K384" s="52"/>
      <c r="L384" s="52"/>
      <c r="CQ384" s="50" t="s">
        <v>800</v>
      </c>
    </row>
    <row r="385" spans="1:12" ht="14.25">
      <c r="A385" s="53"/>
      <c r="B385" s="54"/>
      <c r="C385" s="105" t="s">
        <v>801</v>
      </c>
      <c r="D385" s="104"/>
      <c r="E385" s="104"/>
      <c r="F385" s="104"/>
      <c r="G385" s="104"/>
      <c r="H385" s="104"/>
      <c r="I385" s="55"/>
      <c r="J385" s="56"/>
      <c r="K385" s="56"/>
      <c r="L385" s="56"/>
    </row>
    <row r="386" spans="1:12" ht="14.25">
      <c r="A386" s="53"/>
      <c r="B386" s="54"/>
      <c r="C386" s="104" t="s">
        <v>802</v>
      </c>
      <c r="D386" s="104"/>
      <c r="E386" s="104"/>
      <c r="F386" s="104"/>
      <c r="G386" s="104"/>
      <c r="H386" s="104"/>
      <c r="I386" s="55"/>
      <c r="J386" s="56">
        <f>SUM(Q350:Q382)</f>
        <v>279.37</v>
      </c>
      <c r="K386" s="56"/>
      <c r="L386" s="56"/>
    </row>
    <row r="387" spans="1:12" ht="14.25">
      <c r="A387" s="53"/>
      <c r="B387" s="54"/>
      <c r="C387" s="104" t="s">
        <v>803</v>
      </c>
      <c r="D387" s="104"/>
      <c r="E387" s="104"/>
      <c r="F387" s="104"/>
      <c r="G387" s="104"/>
      <c r="H387" s="104"/>
      <c r="I387" s="55"/>
      <c r="J387" s="56">
        <f>SUM(AB350:AB382)</f>
        <v>22528.66</v>
      </c>
      <c r="K387" s="56"/>
      <c r="L387" s="56"/>
    </row>
    <row r="388" spans="1:12" ht="14.25">
      <c r="A388" s="53"/>
      <c r="B388" s="54"/>
      <c r="C388" s="104" t="s">
        <v>804</v>
      </c>
      <c r="D388" s="104"/>
      <c r="E388" s="104"/>
      <c r="F388" s="104"/>
      <c r="G388" s="104"/>
      <c r="H388" s="104"/>
      <c r="I388" s="55"/>
      <c r="J388" s="56">
        <f>Source!F148-J393</f>
        <v>4620.08</v>
      </c>
      <c r="K388" s="56"/>
      <c r="L388" s="56"/>
    </row>
    <row r="389" spans="1:12" ht="14.25" customHeight="1" hidden="1">
      <c r="A389" s="53"/>
      <c r="B389" s="54"/>
      <c r="C389" s="104" t="s">
        <v>805</v>
      </c>
      <c r="D389" s="104"/>
      <c r="E389" s="104"/>
      <c r="F389" s="104"/>
      <c r="G389" s="104"/>
      <c r="H389" s="104"/>
      <c r="I389" s="55"/>
      <c r="J389" s="56">
        <f>Source!F170</f>
        <v>0</v>
      </c>
      <c r="K389" s="56"/>
      <c r="L389" s="56"/>
    </row>
    <row r="390" spans="1:12" ht="14.25">
      <c r="A390" s="53"/>
      <c r="B390" s="54"/>
      <c r="C390" s="104" t="s">
        <v>806</v>
      </c>
      <c r="D390" s="104"/>
      <c r="E390" s="104"/>
      <c r="F390" s="104"/>
      <c r="G390" s="104"/>
      <c r="H390" s="104"/>
      <c r="I390" s="55"/>
      <c r="J390" s="56">
        <f>SUM(Q350:Q382)+SUM(X350:X382)</f>
        <v>619.72</v>
      </c>
      <c r="K390" s="56"/>
      <c r="L390" s="56"/>
    </row>
    <row r="391" spans="1:12" ht="14.25">
      <c r="A391" s="53"/>
      <c r="B391" s="54"/>
      <c r="C391" s="104" t="s">
        <v>807</v>
      </c>
      <c r="D391" s="104"/>
      <c r="E391" s="104"/>
      <c r="F391" s="104"/>
      <c r="G391" s="104"/>
      <c r="H391" s="104"/>
      <c r="I391" s="55"/>
      <c r="J391" s="56">
        <f>Source!F171</f>
        <v>656.9</v>
      </c>
      <c r="K391" s="56"/>
      <c r="L391" s="56"/>
    </row>
    <row r="392" spans="1:12" ht="14.25">
      <c r="A392" s="53"/>
      <c r="B392" s="54"/>
      <c r="C392" s="104" t="s">
        <v>808</v>
      </c>
      <c r="D392" s="104"/>
      <c r="E392" s="104"/>
      <c r="F392" s="104"/>
      <c r="G392" s="104"/>
      <c r="H392" s="104"/>
      <c r="I392" s="55"/>
      <c r="J392" s="56">
        <f>Source!F172</f>
        <v>278.88</v>
      </c>
      <c r="K392" s="56"/>
      <c r="L392" s="56"/>
    </row>
    <row r="393" spans="1:12" ht="14.25" customHeight="1" hidden="1">
      <c r="A393" s="53"/>
      <c r="B393" s="54"/>
      <c r="C393" s="104" t="s">
        <v>809</v>
      </c>
      <c r="D393" s="104"/>
      <c r="E393" s="104"/>
      <c r="F393" s="104"/>
      <c r="G393" s="104"/>
      <c r="H393" s="104"/>
      <c r="I393" s="55"/>
      <c r="J393" s="56">
        <f>Source!F154</f>
        <v>0</v>
      </c>
      <c r="K393" s="56"/>
      <c r="L393" s="56"/>
    </row>
    <row r="394" spans="1:12" ht="14.25" customHeight="1" hidden="1">
      <c r="A394" s="53"/>
      <c r="B394" s="54"/>
      <c r="C394" s="104" t="s">
        <v>810</v>
      </c>
      <c r="D394" s="104"/>
      <c r="E394" s="104"/>
      <c r="F394" s="104"/>
      <c r="G394" s="104"/>
      <c r="H394" s="104"/>
      <c r="I394" s="55"/>
      <c r="J394" s="56">
        <f>Source!F164</f>
        <v>0</v>
      </c>
      <c r="K394" s="56"/>
      <c r="L394" s="56"/>
    </row>
    <row r="395" spans="1:12" ht="15">
      <c r="A395" s="48"/>
      <c r="B395" s="49"/>
      <c r="C395" s="101" t="s">
        <v>811</v>
      </c>
      <c r="D395" s="101"/>
      <c r="E395" s="101"/>
      <c r="F395" s="101"/>
      <c r="G395" s="101"/>
      <c r="H395" s="101"/>
      <c r="I395" s="51"/>
      <c r="J395" s="52">
        <f>Source!F173</f>
        <v>28363.89</v>
      </c>
      <c r="K395" s="52"/>
      <c r="L395" s="52"/>
    </row>
    <row r="396" spans="1:12" ht="14.25" customHeight="1" hidden="1">
      <c r="A396" s="53"/>
      <c r="B396" s="54"/>
      <c r="C396" s="105" t="s">
        <v>801</v>
      </c>
      <c r="D396" s="104"/>
      <c r="E396" s="104"/>
      <c r="F396" s="104"/>
      <c r="G396" s="104"/>
      <c r="H396" s="104"/>
      <c r="I396" s="55"/>
      <c r="J396" s="56"/>
      <c r="K396" s="56"/>
      <c r="L396" s="56"/>
    </row>
    <row r="397" spans="1:12" ht="14.25" customHeight="1" hidden="1">
      <c r="A397" s="53"/>
      <c r="B397" s="54"/>
      <c r="C397" s="104" t="s">
        <v>812</v>
      </c>
      <c r="D397" s="104"/>
      <c r="E397" s="104"/>
      <c r="F397" s="104"/>
      <c r="G397" s="104"/>
      <c r="H397" s="104"/>
      <c r="I397" s="55"/>
      <c r="J397" s="56"/>
      <c r="K397" s="56"/>
      <c r="L397" s="56">
        <f>SUM(BS350:BS382)</f>
        <v>0</v>
      </c>
    </row>
    <row r="398" spans="1:12" ht="14.25" customHeight="1" hidden="1">
      <c r="A398" s="53"/>
      <c r="B398" s="54"/>
      <c r="C398" s="104" t="s">
        <v>813</v>
      </c>
      <c r="D398" s="104"/>
      <c r="E398" s="104"/>
      <c r="F398" s="104"/>
      <c r="G398" s="104"/>
      <c r="H398" s="104"/>
      <c r="I398" s="55"/>
      <c r="J398" s="56"/>
      <c r="K398" s="56"/>
      <c r="L398" s="56">
        <f>SUM(BT350:BT382)</f>
        <v>0</v>
      </c>
    </row>
    <row r="399" spans="3:10" ht="14.25">
      <c r="C399" s="103" t="str">
        <f>Source!H174</f>
        <v>Итого прямые затраты</v>
      </c>
      <c r="D399" s="103"/>
      <c r="E399" s="103"/>
      <c r="F399" s="103"/>
      <c r="G399" s="103"/>
      <c r="H399" s="103"/>
      <c r="I399" s="103"/>
      <c r="J399" s="33">
        <f>IF(Source!W174=0,"",Source!W174)</f>
        <v>27428</v>
      </c>
    </row>
    <row r="400" spans="3:10" ht="14.25">
      <c r="C400" s="103" t="str">
        <f>Source!H175</f>
        <v>Накладные расходы</v>
      </c>
      <c r="D400" s="103"/>
      <c r="E400" s="103"/>
      <c r="F400" s="103"/>
      <c r="G400" s="103"/>
      <c r="H400" s="103"/>
      <c r="I400" s="103"/>
      <c r="J400" s="33">
        <f>IF(Source!W175=0,"",Source!W175)</f>
        <v>657</v>
      </c>
    </row>
    <row r="401" spans="3:10" ht="14.25">
      <c r="C401" s="103" t="str">
        <f>Source!H176</f>
        <v>Сметная прибыль</v>
      </c>
      <c r="D401" s="103"/>
      <c r="E401" s="103"/>
      <c r="F401" s="103"/>
      <c r="G401" s="103"/>
      <c r="H401" s="103"/>
      <c r="I401" s="103"/>
      <c r="J401" s="33">
        <f>IF(Source!W176=0,"",Source!W176)</f>
        <v>279</v>
      </c>
    </row>
    <row r="402" spans="3:10" ht="14.25">
      <c r="C402" s="103" t="str">
        <f>Source!H177</f>
        <v>Итого</v>
      </c>
      <c r="D402" s="103"/>
      <c r="E402" s="103"/>
      <c r="F402" s="103"/>
      <c r="G402" s="103"/>
      <c r="H402" s="103"/>
      <c r="I402" s="103"/>
      <c r="J402" s="34">
        <f>IF(Source!W177=0,"",Source!W177)</f>
        <v>28364</v>
      </c>
    </row>
    <row r="403" spans="3:10" ht="14.25">
      <c r="C403" s="103" t="str">
        <f>Source!H178</f>
        <v>В том числе общестроительные работы</v>
      </c>
      <c r="D403" s="103"/>
      <c r="E403" s="103"/>
      <c r="F403" s="103"/>
      <c r="G403" s="103"/>
      <c r="H403" s="103"/>
      <c r="I403" s="103"/>
      <c r="J403" s="34">
        <f>IF(Source!W178=0,"",Source!W178)</f>
        <v>24271.91</v>
      </c>
    </row>
    <row r="404" spans="3:10" ht="14.25">
      <c r="C404" s="103" t="str">
        <f>Source!H179</f>
        <v>В том числе монтажные работы</v>
      </c>
      <c r="D404" s="103"/>
      <c r="E404" s="103"/>
      <c r="F404" s="103"/>
      <c r="G404" s="103"/>
      <c r="H404" s="103"/>
      <c r="I404" s="103"/>
      <c r="J404" s="34">
        <f>IF(Source!W179=0,"",Source!W179)</f>
        <v>4091.98</v>
      </c>
    </row>
    <row r="406" spans="1:12" ht="16.5">
      <c r="A406" s="106" t="s">
        <v>834</v>
      </c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</row>
    <row r="407" spans="1:56" ht="105">
      <c r="A407" s="57">
        <v>28</v>
      </c>
      <c r="B407" s="57" t="str">
        <f>Source!F188</f>
        <v>27-03-008-4</v>
      </c>
      <c r="C407" s="57" t="s">
        <v>835</v>
      </c>
      <c r="D407" s="41" t="str">
        <f>Source!H188</f>
        <v>100 м3 конструкций</v>
      </c>
      <c r="E407" s="37">
        <f>Source!K188</f>
        <v>0.004</v>
      </c>
      <c r="F407" s="37"/>
      <c r="G407" s="37">
        <f>Source!I188</f>
        <v>0.004</v>
      </c>
      <c r="H407" s="34"/>
      <c r="I407" s="42"/>
      <c r="J407" s="34"/>
      <c r="K407" s="42"/>
      <c r="L407" s="34"/>
      <c r="AG407">
        <f>Source!X188</f>
        <v>15.45</v>
      </c>
      <c r="AH407">
        <f>Source!HK188</f>
        <v>446.97</v>
      </c>
      <c r="AI407">
        <f>Source!Y188</f>
        <v>14.08</v>
      </c>
      <c r="AJ407">
        <f>Source!HL188</f>
        <v>407.44</v>
      </c>
      <c r="AS407">
        <f>IF(Source!BI188&lt;=1,AH407,0)</f>
        <v>446.97</v>
      </c>
      <c r="AT407">
        <f>IF(Source!BI188&lt;=1,AJ407,0)</f>
        <v>407.44</v>
      </c>
      <c r="BC407">
        <f>IF(Source!BI188=2,AH407,0)</f>
        <v>0</v>
      </c>
      <c r="BD407">
        <f>IF(Source!BI188=2,AJ407,0)</f>
        <v>0</v>
      </c>
    </row>
    <row r="409" ht="12.75">
      <c r="C409" s="31" t="str">
        <f>"Объем: "&amp;Source!K188&amp;"=4*"&amp;"0,1/"&amp;"100"</f>
        <v>Объем: 0,004=4*0,1/100</v>
      </c>
    </row>
    <row r="410" spans="1:12" ht="14.25">
      <c r="A410" s="57"/>
      <c r="B410" s="58">
        <v>1</v>
      </c>
      <c r="C410" s="57" t="s">
        <v>771</v>
      </c>
      <c r="D410" s="41"/>
      <c r="E410" s="37"/>
      <c r="F410" s="37"/>
      <c r="G410" s="37"/>
      <c r="H410" s="34">
        <f>Source!AO188</f>
        <v>1452.78</v>
      </c>
      <c r="I410" s="42">
        <f>ROUND(1.15*1.2,7)</f>
        <v>1.38</v>
      </c>
      <c r="J410" s="34">
        <f>ROUND(Source!AF188*Source!I188,2)</f>
        <v>8.02</v>
      </c>
      <c r="K410" s="42">
        <f>IF(Source!BA188&lt;&gt;0,Source!BA188,1)</f>
        <v>28.93</v>
      </c>
      <c r="L410" s="34">
        <f>Source!HJ188</f>
        <v>232.02</v>
      </c>
    </row>
    <row r="411" spans="1:12" ht="14.25">
      <c r="A411" s="57"/>
      <c r="B411" s="58">
        <v>3</v>
      </c>
      <c r="C411" s="57" t="s">
        <v>782</v>
      </c>
      <c r="D411" s="41"/>
      <c r="E411" s="37"/>
      <c r="F411" s="37"/>
      <c r="G411" s="37"/>
      <c r="H411" s="34">
        <f>Source!AM188</f>
        <v>5013.59</v>
      </c>
      <c r="I411" s="42">
        <f>ROUND(1.15*1.2,7)</f>
        <v>1.38</v>
      </c>
      <c r="J411" s="34">
        <f>ROUND(Source!AD188*Source!I188,2)</f>
        <v>27.68</v>
      </c>
      <c r="K411" s="42"/>
      <c r="L411" s="34"/>
    </row>
    <row r="412" spans="1:12" ht="14.25">
      <c r="A412" s="57"/>
      <c r="B412" s="58">
        <v>2</v>
      </c>
      <c r="C412" s="57" t="s">
        <v>783</v>
      </c>
      <c r="D412" s="41"/>
      <c r="E412" s="37"/>
      <c r="F412" s="37"/>
      <c r="G412" s="37"/>
      <c r="H412" s="34">
        <f>Source!AN188</f>
        <v>451.28</v>
      </c>
      <c r="I412" s="42">
        <f>ROUND(1.15*1.2,7)</f>
        <v>1.38</v>
      </c>
      <c r="J412" s="47">
        <f>ROUND(Source!AE188*Source!I188,2)</f>
        <v>2.49</v>
      </c>
      <c r="K412" s="42">
        <f>IF(Source!BS188&lt;&gt;0,Source!BS188,1)</f>
        <v>28.93</v>
      </c>
      <c r="L412" s="47">
        <f>Source!HI188</f>
        <v>72.04</v>
      </c>
    </row>
    <row r="413" spans="1:12" ht="14.25">
      <c r="A413" s="57"/>
      <c r="B413" s="57"/>
      <c r="C413" s="57" t="s">
        <v>772</v>
      </c>
      <c r="D413" s="41" t="s">
        <v>773</v>
      </c>
      <c r="E413" s="37">
        <f>Source!AQ188</f>
        <v>179.8</v>
      </c>
      <c r="F413" s="37">
        <f>ROUND(1.15*1.2,7)</f>
        <v>1.38</v>
      </c>
      <c r="G413" s="37">
        <f>ROUND(Source!U188,7)</f>
        <v>0.992496</v>
      </c>
      <c r="H413" s="34"/>
      <c r="I413" s="42"/>
      <c r="J413" s="34"/>
      <c r="K413" s="42"/>
      <c r="L413" s="34"/>
    </row>
    <row r="414" spans="1:12" ht="14.25">
      <c r="A414" s="57"/>
      <c r="B414" s="57"/>
      <c r="C414" s="59" t="s">
        <v>784</v>
      </c>
      <c r="D414" s="43" t="s">
        <v>773</v>
      </c>
      <c r="E414" s="44">
        <f>Source!AR188</f>
        <v>45.63</v>
      </c>
      <c r="F414" s="44">
        <f>ROUND(1.15*1.2,7)</f>
        <v>1.38</v>
      </c>
      <c r="G414" s="44">
        <f>ROUND(Source!V188,7)</f>
        <v>0.2518776</v>
      </c>
      <c r="H414" s="45"/>
      <c r="I414" s="46"/>
      <c r="J414" s="45"/>
      <c r="K414" s="46"/>
      <c r="L414" s="45"/>
    </row>
    <row r="415" spans="1:12" ht="14.25">
      <c r="A415" s="57"/>
      <c r="B415" s="57"/>
      <c r="C415" s="57" t="s">
        <v>774</v>
      </c>
      <c r="D415" s="41"/>
      <c r="E415" s="37"/>
      <c r="F415" s="37"/>
      <c r="G415" s="37"/>
      <c r="H415" s="34">
        <f>H410+H411</f>
        <v>6466.37</v>
      </c>
      <c r="I415" s="42"/>
      <c r="J415" s="34">
        <f>J410+J411</f>
        <v>35.7</v>
      </c>
      <c r="K415" s="42"/>
      <c r="L415" s="34"/>
    </row>
    <row r="416" spans="1:12" ht="14.25">
      <c r="A416" s="57"/>
      <c r="B416" s="57"/>
      <c r="C416" s="57" t="s">
        <v>775</v>
      </c>
      <c r="D416" s="41"/>
      <c r="E416" s="37"/>
      <c r="F416" s="37"/>
      <c r="G416" s="37"/>
      <c r="H416" s="34"/>
      <c r="I416" s="42"/>
      <c r="J416" s="34">
        <f>SUM(Q407:Q419)+SUM(V407:V419)+SUM(X407:X419)+SUM(Y407:Y419)</f>
        <v>10.51</v>
      </c>
      <c r="K416" s="42"/>
      <c r="L416" s="34">
        <f>SUM(U407:U419)+SUM(W407:W419)+SUM(Z407:Z419)+SUM(AA407:AA419)</f>
        <v>304.06</v>
      </c>
    </row>
    <row r="417" spans="1:12" ht="14.25">
      <c r="A417" s="57"/>
      <c r="B417" s="57" t="s">
        <v>259</v>
      </c>
      <c r="C417" s="57" t="s">
        <v>836</v>
      </c>
      <c r="D417" s="41" t="s">
        <v>777</v>
      </c>
      <c r="E417" s="37">
        <f>Source!BZ188</f>
        <v>147</v>
      </c>
      <c r="F417" s="37"/>
      <c r="G417" s="37">
        <f>Source!AT188</f>
        <v>147</v>
      </c>
      <c r="H417" s="34"/>
      <c r="I417" s="42"/>
      <c r="J417" s="34">
        <f>SUM(AG407:AG419)</f>
        <v>15.45</v>
      </c>
      <c r="K417" s="42"/>
      <c r="L417" s="34">
        <f>SUM(AH407:AH419)</f>
        <v>446.97</v>
      </c>
    </row>
    <row r="418" spans="1:12" ht="14.25">
      <c r="A418" s="59"/>
      <c r="B418" s="59" t="s">
        <v>260</v>
      </c>
      <c r="C418" s="59" t="s">
        <v>837</v>
      </c>
      <c r="D418" s="43" t="s">
        <v>777</v>
      </c>
      <c r="E418" s="44">
        <f>Source!CA188</f>
        <v>134</v>
      </c>
      <c r="F418" s="44"/>
      <c r="G418" s="44">
        <f>Source!AU188</f>
        <v>134</v>
      </c>
      <c r="H418" s="45"/>
      <c r="I418" s="46"/>
      <c r="J418" s="45">
        <f>SUM(AI407:AI419)</f>
        <v>14.08</v>
      </c>
      <c r="K418" s="46"/>
      <c r="L418" s="45">
        <f>SUM(AJ407:AJ419)</f>
        <v>407.44</v>
      </c>
    </row>
    <row r="419" spans="3:53" ht="15">
      <c r="C419" s="102" t="s">
        <v>779</v>
      </c>
      <c r="D419" s="102"/>
      <c r="E419" s="102"/>
      <c r="F419" s="102"/>
      <c r="G419" s="102"/>
      <c r="H419" s="102"/>
      <c r="I419" s="102">
        <f>J410+J411+J417+J418</f>
        <v>65.23</v>
      </c>
      <c r="J419" s="102"/>
      <c r="O419" s="32">
        <f>I419</f>
        <v>65.23</v>
      </c>
      <c r="P419">
        <f>K419</f>
        <v>0</v>
      </c>
      <c r="Q419" s="32">
        <f>J410</f>
        <v>8.02</v>
      </c>
      <c r="R419" s="32">
        <f>J410</f>
        <v>8.02</v>
      </c>
      <c r="U419" s="32">
        <f>L410</f>
        <v>232.02</v>
      </c>
      <c r="X419" s="32">
        <f>J412</f>
        <v>2.49</v>
      </c>
      <c r="Z419" s="32">
        <f>L412</f>
        <v>72.04</v>
      </c>
      <c r="AB419" s="32">
        <f>J411</f>
        <v>27.68</v>
      </c>
      <c r="AD419" s="32">
        <f>L411</f>
        <v>0</v>
      </c>
      <c r="AF419">
        <f>0</f>
        <v>0</v>
      </c>
      <c r="AN419">
        <f>IF(Source!BI188&lt;=1,J410+J411+J417+J418,0)</f>
        <v>65.23</v>
      </c>
      <c r="AO419">
        <f>IF(Source!BI188&lt;=1,0,0)</f>
        <v>0</v>
      </c>
      <c r="AP419">
        <f>IF(Source!BI188&lt;=1,J411,0)</f>
        <v>27.68</v>
      </c>
      <c r="AQ419">
        <f>IF(Source!BI188&lt;=1,J410,0)</f>
        <v>8.02</v>
      </c>
      <c r="AX419">
        <f>IF(Source!BI188=2,J410+J411+J417+J418,0)</f>
        <v>0</v>
      </c>
      <c r="AY419">
        <f>IF(Source!BI188=2,0,0)</f>
        <v>0</v>
      </c>
      <c r="AZ419">
        <f>IF(Source!BI188=2,J411,0)</f>
        <v>0</v>
      </c>
      <c r="BA419">
        <f>IF(Source!BI188=2,J410,0)</f>
        <v>0</v>
      </c>
    </row>
    <row r="420" spans="1:56" ht="105">
      <c r="A420" s="57">
        <v>29</v>
      </c>
      <c r="B420" s="57" t="str">
        <f>Source!F189</f>
        <v>27-03-008-2</v>
      </c>
      <c r="C420" s="57" t="s">
        <v>838</v>
      </c>
      <c r="D420" s="41" t="str">
        <f>Source!H189</f>
        <v>100 м3 конструкций</v>
      </c>
      <c r="E420" s="37">
        <f>Source!K189</f>
        <v>0.006</v>
      </c>
      <c r="F420" s="37"/>
      <c r="G420" s="37">
        <f>Source!I189</f>
        <v>0.006</v>
      </c>
      <c r="H420" s="34"/>
      <c r="I420" s="42"/>
      <c r="J420" s="34"/>
      <c r="K420" s="42"/>
      <c r="L420" s="34"/>
      <c r="AG420">
        <f>Source!X189</f>
        <v>1.81</v>
      </c>
      <c r="AH420">
        <f>Source!HK189</f>
        <v>52.3</v>
      </c>
      <c r="AI420">
        <f>Source!Y189</f>
        <v>1.65</v>
      </c>
      <c r="AJ420">
        <f>Source!HL189</f>
        <v>47.68</v>
      </c>
      <c r="AS420">
        <f>IF(Source!BI189&lt;=1,AH420,0)</f>
        <v>52.3</v>
      </c>
      <c r="AT420">
        <f>IF(Source!BI189&lt;=1,AJ420,0)</f>
        <v>47.68</v>
      </c>
      <c r="BC420">
        <f>IF(Source!BI189=2,AH420,0)</f>
        <v>0</v>
      </c>
      <c r="BD420">
        <f>IF(Source!BI189=2,AJ420,0)</f>
        <v>0</v>
      </c>
    </row>
    <row r="422" ht="12.75">
      <c r="C422" s="31" t="str">
        <f>"Объем: "&amp;Source!K189&amp;"=4*"&amp;"0,15/"&amp;"100"</f>
        <v>Объем: 0,006=4*0,15/100</v>
      </c>
    </row>
    <row r="423" spans="1:12" ht="14.25">
      <c r="A423" s="57"/>
      <c r="B423" s="58">
        <v>1</v>
      </c>
      <c r="C423" s="57" t="s">
        <v>771</v>
      </c>
      <c r="D423" s="41"/>
      <c r="E423" s="37"/>
      <c r="F423" s="37"/>
      <c r="G423" s="37"/>
      <c r="H423" s="34">
        <f>Source!AO189</f>
        <v>100.21</v>
      </c>
      <c r="I423" s="42">
        <f>ROUND(1.15*1.2,7)</f>
        <v>1.38</v>
      </c>
      <c r="J423" s="34">
        <f>ROUND(Source!AF189*Source!I189,2)</f>
        <v>0.83</v>
      </c>
      <c r="K423" s="42">
        <f>IF(Source!BA189&lt;&gt;0,Source!BA189,1)</f>
        <v>28.93</v>
      </c>
      <c r="L423" s="34">
        <f>Source!HJ189</f>
        <v>24.01</v>
      </c>
    </row>
    <row r="424" spans="1:12" ht="14.25">
      <c r="A424" s="57"/>
      <c r="B424" s="58">
        <v>3</v>
      </c>
      <c r="C424" s="57" t="s">
        <v>782</v>
      </c>
      <c r="D424" s="41"/>
      <c r="E424" s="37"/>
      <c r="F424" s="37"/>
      <c r="G424" s="37"/>
      <c r="H424" s="34">
        <f>Source!AM189</f>
        <v>438.38</v>
      </c>
      <c r="I424" s="42">
        <f>ROUND(1.15*1.2,7)</f>
        <v>1.38</v>
      </c>
      <c r="J424" s="34">
        <f>ROUND(Source!AD189*Source!I189,2)</f>
        <v>3.63</v>
      </c>
      <c r="K424" s="42"/>
      <c r="L424" s="34"/>
    </row>
    <row r="425" spans="1:12" ht="14.25">
      <c r="A425" s="57"/>
      <c r="B425" s="58">
        <v>2</v>
      </c>
      <c r="C425" s="57" t="s">
        <v>783</v>
      </c>
      <c r="D425" s="41"/>
      <c r="E425" s="37"/>
      <c r="F425" s="37"/>
      <c r="G425" s="37"/>
      <c r="H425" s="34">
        <f>Source!AN189</f>
        <v>48.89</v>
      </c>
      <c r="I425" s="42">
        <f>ROUND(1.15*1.2,7)</f>
        <v>1.38</v>
      </c>
      <c r="J425" s="47">
        <f>ROUND(Source!AE189*Source!I189,2)</f>
        <v>0.4</v>
      </c>
      <c r="K425" s="42">
        <f>IF(Source!BS189&lt;&gt;0,Source!BS189,1)</f>
        <v>28.93</v>
      </c>
      <c r="L425" s="47">
        <f>Source!HI189</f>
        <v>11.57</v>
      </c>
    </row>
    <row r="426" spans="1:12" ht="14.25">
      <c r="A426" s="57"/>
      <c r="B426" s="57"/>
      <c r="C426" s="57" t="s">
        <v>772</v>
      </c>
      <c r="D426" s="41" t="s">
        <v>773</v>
      </c>
      <c r="E426" s="37">
        <f>Source!AQ189</f>
        <v>13.22</v>
      </c>
      <c r="F426" s="37">
        <f>ROUND(1.15*1.2,7)</f>
        <v>1.38</v>
      </c>
      <c r="G426" s="37">
        <f>ROUND(Source!U189,7)</f>
        <v>0.1094616</v>
      </c>
      <c r="H426" s="34"/>
      <c r="I426" s="42"/>
      <c r="J426" s="34"/>
      <c r="K426" s="42"/>
      <c r="L426" s="34"/>
    </row>
    <row r="427" spans="1:12" ht="14.25">
      <c r="A427" s="57"/>
      <c r="B427" s="57"/>
      <c r="C427" s="59" t="s">
        <v>784</v>
      </c>
      <c r="D427" s="43" t="s">
        <v>773</v>
      </c>
      <c r="E427" s="44">
        <f>Source!AR189</f>
        <v>3.79</v>
      </c>
      <c r="F427" s="44">
        <f>ROUND(1.15*1.2,7)</f>
        <v>1.38</v>
      </c>
      <c r="G427" s="44">
        <f>ROUND(Source!V189,7)</f>
        <v>0.0313812</v>
      </c>
      <c r="H427" s="45"/>
      <c r="I427" s="46"/>
      <c r="J427" s="45"/>
      <c r="K427" s="46"/>
      <c r="L427" s="45"/>
    </row>
    <row r="428" spans="1:12" ht="14.25">
      <c r="A428" s="57"/>
      <c r="B428" s="57"/>
      <c r="C428" s="57" t="s">
        <v>774</v>
      </c>
      <c r="D428" s="41"/>
      <c r="E428" s="37"/>
      <c r="F428" s="37"/>
      <c r="G428" s="37"/>
      <c r="H428" s="34">
        <f>H423+H424</f>
        <v>538.59</v>
      </c>
      <c r="I428" s="42"/>
      <c r="J428" s="34">
        <f>J423+J424</f>
        <v>4.46</v>
      </c>
      <c r="K428" s="42"/>
      <c r="L428" s="34"/>
    </row>
    <row r="429" spans="1:12" ht="14.25">
      <c r="A429" s="57"/>
      <c r="B429" s="57"/>
      <c r="C429" s="57" t="s">
        <v>775</v>
      </c>
      <c r="D429" s="41"/>
      <c r="E429" s="37"/>
      <c r="F429" s="37"/>
      <c r="G429" s="37"/>
      <c r="H429" s="34"/>
      <c r="I429" s="42"/>
      <c r="J429" s="34">
        <f>SUM(Q420:Q432)+SUM(V420:V432)+SUM(X420:X432)+SUM(Y420:Y432)</f>
        <v>1.23</v>
      </c>
      <c r="K429" s="42"/>
      <c r="L429" s="34">
        <f>SUM(U420:U432)+SUM(W420:W432)+SUM(Z420:Z432)+SUM(AA420:AA432)</f>
        <v>35.58</v>
      </c>
    </row>
    <row r="430" spans="1:12" ht="14.25">
      <c r="A430" s="57"/>
      <c r="B430" s="57" t="s">
        <v>259</v>
      </c>
      <c r="C430" s="57" t="s">
        <v>836</v>
      </c>
      <c r="D430" s="41" t="s">
        <v>777</v>
      </c>
      <c r="E430" s="37">
        <f>Source!BZ189</f>
        <v>147</v>
      </c>
      <c r="F430" s="37"/>
      <c r="G430" s="37">
        <f>Source!AT189</f>
        <v>147</v>
      </c>
      <c r="H430" s="34"/>
      <c r="I430" s="42"/>
      <c r="J430" s="34">
        <f>SUM(AG420:AG432)</f>
        <v>1.81</v>
      </c>
      <c r="K430" s="42"/>
      <c r="L430" s="34">
        <f>SUM(AH420:AH432)</f>
        <v>52.3</v>
      </c>
    </row>
    <row r="431" spans="1:12" ht="14.25">
      <c r="A431" s="59"/>
      <c r="B431" s="59" t="s">
        <v>260</v>
      </c>
      <c r="C431" s="59" t="s">
        <v>837</v>
      </c>
      <c r="D431" s="43" t="s">
        <v>777</v>
      </c>
      <c r="E431" s="44">
        <f>Source!CA189</f>
        <v>134</v>
      </c>
      <c r="F431" s="44"/>
      <c r="G431" s="44">
        <f>Source!AU189</f>
        <v>134</v>
      </c>
      <c r="H431" s="45"/>
      <c r="I431" s="46"/>
      <c r="J431" s="45">
        <f>SUM(AI420:AI432)</f>
        <v>1.65</v>
      </c>
      <c r="K431" s="46"/>
      <c r="L431" s="45">
        <f>SUM(AJ420:AJ432)</f>
        <v>47.68</v>
      </c>
    </row>
    <row r="432" spans="3:53" ht="15">
      <c r="C432" s="102" t="s">
        <v>779</v>
      </c>
      <c r="D432" s="102"/>
      <c r="E432" s="102"/>
      <c r="F432" s="102"/>
      <c r="G432" s="102"/>
      <c r="H432" s="102"/>
      <c r="I432" s="102">
        <f>J423+J424+J430+J431</f>
        <v>7.92</v>
      </c>
      <c r="J432" s="102"/>
      <c r="O432" s="32">
        <f>I432</f>
        <v>7.92</v>
      </c>
      <c r="P432">
        <f>K432</f>
        <v>0</v>
      </c>
      <c r="Q432" s="32">
        <f>J423</f>
        <v>0.83</v>
      </c>
      <c r="R432" s="32">
        <f>J423</f>
        <v>0.83</v>
      </c>
      <c r="U432" s="32">
        <f>L423</f>
        <v>24.01</v>
      </c>
      <c r="X432" s="32">
        <f>J425</f>
        <v>0.4</v>
      </c>
      <c r="Z432" s="32">
        <f>L425</f>
        <v>11.57</v>
      </c>
      <c r="AB432" s="32">
        <f>J424</f>
        <v>3.63</v>
      </c>
      <c r="AD432" s="32">
        <f>L424</f>
        <v>0</v>
      </c>
      <c r="AF432">
        <f>0</f>
        <v>0</v>
      </c>
      <c r="AN432">
        <f>IF(Source!BI189&lt;=1,J423+J424+J430+J431,0)</f>
        <v>7.92</v>
      </c>
      <c r="AO432">
        <f>IF(Source!BI189&lt;=1,0,0)</f>
        <v>0</v>
      </c>
      <c r="AP432">
        <f>IF(Source!BI189&lt;=1,J424,0)</f>
        <v>3.63</v>
      </c>
      <c r="AQ432">
        <f>IF(Source!BI189&lt;=1,J423,0)</f>
        <v>0.83</v>
      </c>
      <c r="AX432">
        <f>IF(Source!BI189=2,J423+J424+J430+J431,0)</f>
        <v>0</v>
      </c>
      <c r="AY432">
        <f>IF(Source!BI189=2,0,0)</f>
        <v>0</v>
      </c>
      <c r="AZ432">
        <f>IF(Source!BI189=2,J424,0)</f>
        <v>0</v>
      </c>
      <c r="BA432">
        <f>IF(Source!BI189=2,J423,0)</f>
        <v>0</v>
      </c>
    </row>
    <row r="433" spans="1:56" ht="42.75">
      <c r="A433" s="57">
        <v>30</v>
      </c>
      <c r="B433" s="57" t="str">
        <f>Source!F190</f>
        <v>т01-01-01-041</v>
      </c>
      <c r="C433" s="57" t="str">
        <f>Source!G190</f>
        <v>Погрузка при автомобильных перевозках мусора строительного с погрузкой вручную</v>
      </c>
      <c r="D433" s="41" t="str">
        <f>Source!H190</f>
        <v>1 Т ГРУЗА</v>
      </c>
      <c r="E433" s="37">
        <f>Source!K190</f>
        <v>1.8</v>
      </c>
      <c r="F433" s="37"/>
      <c r="G433" s="37">
        <f>Source!I190</f>
        <v>1.8</v>
      </c>
      <c r="H433" s="34"/>
      <c r="I433" s="42"/>
      <c r="J433" s="34"/>
      <c r="K433" s="42"/>
      <c r="L433" s="34"/>
      <c r="AG433">
        <f>Source!X190</f>
        <v>0</v>
      </c>
      <c r="AH433">
        <f>Source!HK190</f>
        <v>0</v>
      </c>
      <c r="AI433">
        <f>Source!Y190</f>
        <v>0</v>
      </c>
      <c r="AJ433">
        <f>Source!HL190</f>
        <v>0</v>
      </c>
      <c r="AS433">
        <f>IF(Source!BI190&lt;=1,AH433,0)</f>
        <v>0</v>
      </c>
      <c r="AT433">
        <f>IF(Source!BI190&lt;=1,AJ433,0)</f>
        <v>0</v>
      </c>
      <c r="BC433">
        <f>IF(Source!BI190=2,AH433,0)</f>
        <v>0</v>
      </c>
      <c r="BD433">
        <f>IF(Source!BI190=2,AJ433,0)</f>
        <v>0</v>
      </c>
    </row>
    <row r="435" ht="12.75">
      <c r="C435" s="31" t="str">
        <f>"Объем: "&amp;Source!K190&amp;"=0,4*"&amp;"2,1+"&amp;"0,6*"&amp;"1,6"</f>
        <v>Объем: 1,8=0,4*2,1+0,6*1,6</v>
      </c>
    </row>
    <row r="436" spans="1:12" ht="14.25">
      <c r="A436" s="57"/>
      <c r="B436" s="58">
        <v>3</v>
      </c>
      <c r="C436" s="57" t="s">
        <v>782</v>
      </c>
      <c r="D436" s="41"/>
      <c r="E436" s="37"/>
      <c r="F436" s="37"/>
      <c r="G436" s="37"/>
      <c r="H436" s="34">
        <f>Source!AM190</f>
        <v>42.6</v>
      </c>
      <c r="I436" s="42"/>
      <c r="J436" s="34">
        <f>ROUND(Source!AD190*Source!I190,2)</f>
        <v>76.68</v>
      </c>
      <c r="K436" s="42"/>
      <c r="L436" s="34"/>
    </row>
    <row r="437" spans="1:12" ht="14.25">
      <c r="A437" s="57"/>
      <c r="B437" s="57"/>
      <c r="C437" s="57" t="s">
        <v>772</v>
      </c>
      <c r="D437" s="41" t="s">
        <v>773</v>
      </c>
      <c r="E437" s="37">
        <f>Source!AQ190</f>
        <v>0.5777</v>
      </c>
      <c r="F437" s="37"/>
      <c r="G437" s="37">
        <f>ROUND(Source!U190,7)</f>
        <v>1.03986</v>
      </c>
      <c r="H437" s="34"/>
      <c r="I437" s="42"/>
      <c r="J437" s="34"/>
      <c r="K437" s="42"/>
      <c r="L437" s="34"/>
    </row>
    <row r="438" spans="1:12" ht="14.25">
      <c r="A438" s="57"/>
      <c r="B438" s="57"/>
      <c r="C438" s="59" t="s">
        <v>784</v>
      </c>
      <c r="D438" s="43" t="s">
        <v>773</v>
      </c>
      <c r="E438" s="44">
        <f>Source!AR190</f>
        <v>0.29</v>
      </c>
      <c r="F438" s="44"/>
      <c r="G438" s="44">
        <f>ROUND(Source!V190,7)</f>
        <v>0.522</v>
      </c>
      <c r="H438" s="45"/>
      <c r="I438" s="46"/>
      <c r="J438" s="45"/>
      <c r="K438" s="46"/>
      <c r="L438" s="45"/>
    </row>
    <row r="439" spans="1:12" ht="14.25">
      <c r="A439" s="59"/>
      <c r="B439" s="59"/>
      <c r="C439" s="59" t="s">
        <v>774</v>
      </c>
      <c r="D439" s="43"/>
      <c r="E439" s="44"/>
      <c r="F439" s="44"/>
      <c r="G439" s="44"/>
      <c r="H439" s="45">
        <f>H436</f>
        <v>42.6</v>
      </c>
      <c r="I439" s="46"/>
      <c r="J439" s="45">
        <f>J436</f>
        <v>76.68</v>
      </c>
      <c r="K439" s="46"/>
      <c r="L439" s="45"/>
    </row>
    <row r="440" spans="3:61" ht="15">
      <c r="C440" s="102" t="s">
        <v>779</v>
      </c>
      <c r="D440" s="102"/>
      <c r="E440" s="102"/>
      <c r="F440" s="102"/>
      <c r="G440" s="102"/>
      <c r="H440" s="102"/>
      <c r="I440" s="102">
        <f>J436</f>
        <v>76.68</v>
      </c>
      <c r="J440" s="102"/>
      <c r="O440" s="32">
        <f>I440</f>
        <v>76.68</v>
      </c>
      <c r="P440">
        <f>K440</f>
        <v>0</v>
      </c>
      <c r="R440">
        <f>0</f>
        <v>0</v>
      </c>
      <c r="V440">
        <f>0</f>
        <v>0</v>
      </c>
      <c r="W440">
        <f>0</f>
        <v>0</v>
      </c>
      <c r="Y440">
        <f>0</f>
        <v>0</v>
      </c>
      <c r="AA440">
        <f>0</f>
        <v>0</v>
      </c>
      <c r="AC440" s="32">
        <f>J436</f>
        <v>76.68</v>
      </c>
      <c r="AE440" s="32">
        <f>L436</f>
        <v>0</v>
      </c>
      <c r="AF440">
        <f>0</f>
        <v>0</v>
      </c>
      <c r="AO440">
        <f>IF(Source!BI190&lt;=1,0,0)</f>
        <v>0</v>
      </c>
      <c r="AR440">
        <f>IF(Source!BI190&lt;=1,J436,0)</f>
        <v>76.68</v>
      </c>
      <c r="AY440">
        <f>IF(Source!BI190=2,0,0)</f>
        <v>0</v>
      </c>
      <c r="BB440">
        <f>IF(Source!BI190=2,J436,0)</f>
        <v>0</v>
      </c>
      <c r="BI440">
        <f>IF(Source!BI190=3,J436,0)</f>
        <v>0</v>
      </c>
    </row>
    <row r="441" spans="1:56" ht="57">
      <c r="A441" s="57">
        <v>31</v>
      </c>
      <c r="B441" s="57" t="str">
        <f>Source!F191</f>
        <v>т03-21-01-010</v>
      </c>
      <c r="C441" s="57" t="str">
        <f>Source!G191</f>
        <v>Перевозка грузов I класса автомобилями-самосвалами грузоподъемностью 10 т работающих вне карьера на расстояние до 10 км</v>
      </c>
      <c r="D441" s="41" t="str">
        <f>Source!H191</f>
        <v>1 Т ГРУЗА</v>
      </c>
      <c r="E441" s="37">
        <f>Source!K191</f>
        <v>1.8</v>
      </c>
      <c r="F441" s="37"/>
      <c r="G441" s="37">
        <f>Source!I191</f>
        <v>1.8</v>
      </c>
      <c r="H441" s="34"/>
      <c r="I441" s="42"/>
      <c r="J441" s="34"/>
      <c r="K441" s="42"/>
      <c r="L441" s="34"/>
      <c r="AG441">
        <f>Source!X191</f>
        <v>0</v>
      </c>
      <c r="AH441">
        <f>Source!HK191</f>
        <v>0</v>
      </c>
      <c r="AI441">
        <f>Source!Y191</f>
        <v>0</v>
      </c>
      <c r="AJ441">
        <f>Source!HL191</f>
        <v>0</v>
      </c>
      <c r="AS441">
        <f>IF(Source!BI191&lt;=1,AH441,0)</f>
        <v>0</v>
      </c>
      <c r="AT441">
        <f>IF(Source!BI191&lt;=1,AJ441,0)</f>
        <v>0</v>
      </c>
      <c r="BC441">
        <f>IF(Source!BI191=2,AH441,0)</f>
        <v>0</v>
      </c>
      <c r="BD441">
        <f>IF(Source!BI191=2,AJ441,0)</f>
        <v>0</v>
      </c>
    </row>
    <row r="443" spans="1:12" ht="14.25">
      <c r="A443" s="57"/>
      <c r="B443" s="58">
        <v>3</v>
      </c>
      <c r="C443" s="59" t="s">
        <v>782</v>
      </c>
      <c r="D443" s="43"/>
      <c r="E443" s="44"/>
      <c r="F443" s="44"/>
      <c r="G443" s="44"/>
      <c r="H443" s="45">
        <f>Source!AM191</f>
        <v>10.72</v>
      </c>
      <c r="I443" s="46"/>
      <c r="J443" s="45">
        <f>ROUND(Source!AD191*Source!I191,2)</f>
        <v>19.3</v>
      </c>
      <c r="K443" s="46"/>
      <c r="L443" s="45"/>
    </row>
    <row r="444" spans="1:12" ht="14.25">
      <c r="A444" s="59"/>
      <c r="B444" s="59"/>
      <c r="C444" s="59" t="s">
        <v>774</v>
      </c>
      <c r="D444" s="43"/>
      <c r="E444" s="44"/>
      <c r="F444" s="44"/>
      <c r="G444" s="44"/>
      <c r="H444" s="45">
        <f>H443</f>
        <v>10.72</v>
      </c>
      <c r="I444" s="46"/>
      <c r="J444" s="45">
        <f>J443</f>
        <v>19.3</v>
      </c>
      <c r="K444" s="46"/>
      <c r="L444" s="45"/>
    </row>
    <row r="445" spans="3:61" ht="15">
      <c r="C445" s="102" t="s">
        <v>779</v>
      </c>
      <c r="D445" s="102"/>
      <c r="E445" s="102"/>
      <c r="F445" s="102"/>
      <c r="G445" s="102"/>
      <c r="H445" s="102"/>
      <c r="I445" s="102">
        <f>J443</f>
        <v>19.3</v>
      </c>
      <c r="J445" s="102"/>
      <c r="O445" s="32">
        <f>I445</f>
        <v>19.3</v>
      </c>
      <c r="P445">
        <f>K445</f>
        <v>0</v>
      </c>
      <c r="R445">
        <f>0</f>
        <v>0</v>
      </c>
      <c r="V445">
        <f>0</f>
        <v>0</v>
      </c>
      <c r="W445">
        <f>0</f>
        <v>0</v>
      </c>
      <c r="Y445">
        <f>0</f>
        <v>0</v>
      </c>
      <c r="AA445">
        <f>0</f>
        <v>0</v>
      </c>
      <c r="AC445" s="32">
        <f>J443</f>
        <v>19.3</v>
      </c>
      <c r="AE445" s="32">
        <f>L443</f>
        <v>0</v>
      </c>
      <c r="AF445">
        <f>0</f>
        <v>0</v>
      </c>
      <c r="AO445">
        <f>IF(Source!BI191&lt;=1,0,0)</f>
        <v>0</v>
      </c>
      <c r="AR445">
        <f>IF(Source!BI191&lt;=1,J443,0)</f>
        <v>19.3</v>
      </c>
      <c r="AY445">
        <f>IF(Source!BI191=2,0,0)</f>
        <v>0</v>
      </c>
      <c r="BB445">
        <f>IF(Source!BI191=2,J443,0)</f>
        <v>0</v>
      </c>
      <c r="BI445">
        <f>IF(Source!BI191=3,J443,0)</f>
        <v>0</v>
      </c>
    </row>
    <row r="446" spans="1:56" ht="147.75">
      <c r="A446" s="57">
        <v>32</v>
      </c>
      <c r="B446" s="57" t="str">
        <f>Source!F192</f>
        <v>27-04-007-1</v>
      </c>
      <c r="C446" s="57" t="s">
        <v>839</v>
      </c>
      <c r="D446" s="41" t="str">
        <f>Source!H192</f>
        <v>1000 м2 основания</v>
      </c>
      <c r="E446" s="37">
        <f>Source!K192</f>
        <v>0.0046</v>
      </c>
      <c r="F446" s="37"/>
      <c r="G446" s="37">
        <f>Source!I192</f>
        <v>0.0046</v>
      </c>
      <c r="H446" s="34"/>
      <c r="I446" s="42"/>
      <c r="J446" s="34"/>
      <c r="K446" s="42"/>
      <c r="L446" s="34"/>
      <c r="AG446">
        <f>Source!X192</f>
        <v>7.01</v>
      </c>
      <c r="AH446">
        <f>Source!HK192</f>
        <v>202.86</v>
      </c>
      <c r="AI446">
        <f>Source!Y192</f>
        <v>4.53</v>
      </c>
      <c r="AJ446">
        <f>Source!HL192</f>
        <v>131.1</v>
      </c>
      <c r="AS446">
        <f>IF(Source!BI192&lt;=1,AH446,0)</f>
        <v>202.86</v>
      </c>
      <c r="AT446">
        <f>IF(Source!BI192&lt;=1,AJ446,0)</f>
        <v>131.1</v>
      </c>
      <c r="BC446">
        <f>IF(Source!BI192=2,AH446,0)</f>
        <v>0</v>
      </c>
      <c r="BD446">
        <f>IF(Source!BI192=2,AJ446,0)</f>
        <v>0</v>
      </c>
    </row>
    <row r="448" ht="12.75">
      <c r="C448" s="31" t="str">
        <f>"Объем: "&amp;Source!K192&amp;"=4,6/"&amp;"1000"</f>
        <v>Объем: 0,0046=4,6/1000</v>
      </c>
    </row>
    <row r="449" spans="1:12" ht="14.25">
      <c r="A449" s="57"/>
      <c r="B449" s="58">
        <v>1</v>
      </c>
      <c r="C449" s="57" t="s">
        <v>771</v>
      </c>
      <c r="D449" s="41"/>
      <c r="E449" s="37"/>
      <c r="F449" s="37"/>
      <c r="G449" s="37"/>
      <c r="H449" s="34">
        <f>Source!AO192</f>
        <v>293.46</v>
      </c>
      <c r="I449" s="42">
        <f>ROUND(1.15*1.2,7)</f>
        <v>1.38</v>
      </c>
      <c r="J449" s="34">
        <f>ROUND(Source!AF192*Source!I192,2)</f>
        <v>1.86</v>
      </c>
      <c r="K449" s="42">
        <f>IF(Source!BA192&lt;&gt;0,Source!BA192,1)</f>
        <v>28.93</v>
      </c>
      <c r="L449" s="34">
        <f>Source!HJ192</f>
        <v>53.81</v>
      </c>
    </row>
    <row r="450" spans="1:12" ht="14.25">
      <c r="A450" s="57"/>
      <c r="B450" s="58">
        <v>3</v>
      </c>
      <c r="C450" s="57" t="s">
        <v>782</v>
      </c>
      <c r="D450" s="41"/>
      <c r="E450" s="37"/>
      <c r="F450" s="37"/>
      <c r="G450" s="37"/>
      <c r="H450" s="34">
        <f>Source!AM192</f>
        <v>4344.57</v>
      </c>
      <c r="I450" s="42">
        <f>ROUND(1.15*1.2,7)</f>
        <v>1.38</v>
      </c>
      <c r="J450" s="34">
        <f>ROUND(Source!AD192*Source!I192,2)</f>
        <v>27.58</v>
      </c>
      <c r="K450" s="42"/>
      <c r="L450" s="34"/>
    </row>
    <row r="451" spans="1:12" ht="14.25">
      <c r="A451" s="57"/>
      <c r="B451" s="58">
        <v>2</v>
      </c>
      <c r="C451" s="57" t="s">
        <v>783</v>
      </c>
      <c r="D451" s="41"/>
      <c r="E451" s="37"/>
      <c r="F451" s="37"/>
      <c r="G451" s="37"/>
      <c r="H451" s="34">
        <f>Source!AN192</f>
        <v>458.07</v>
      </c>
      <c r="I451" s="42">
        <f>ROUND(1.15*1.2,7)</f>
        <v>1.38</v>
      </c>
      <c r="J451" s="47">
        <f>ROUND(Source!AE192*Source!I192,2)</f>
        <v>2.91</v>
      </c>
      <c r="K451" s="42">
        <f>IF(Source!BS192&lt;&gt;0,Source!BS192,1)</f>
        <v>28.93</v>
      </c>
      <c r="L451" s="47">
        <f>Source!HI192</f>
        <v>84.19</v>
      </c>
    </row>
    <row r="452" spans="1:12" ht="14.25">
      <c r="A452" s="57"/>
      <c r="B452" s="58">
        <v>4</v>
      </c>
      <c r="C452" s="57" t="s">
        <v>793</v>
      </c>
      <c r="D452" s="41"/>
      <c r="E452" s="37"/>
      <c r="F452" s="37"/>
      <c r="G452" s="37"/>
      <c r="H452" s="34">
        <f>Source!AL192</f>
        <v>42600.45</v>
      </c>
      <c r="I452" s="42"/>
      <c r="J452" s="34">
        <f>ROUND(Source!AC192*Source!I192,2)</f>
        <v>195.96</v>
      </c>
      <c r="K452" s="42"/>
      <c r="L452" s="34"/>
    </row>
    <row r="453" spans="1:12" ht="14.25">
      <c r="A453" s="57"/>
      <c r="B453" s="57"/>
      <c r="C453" s="57" t="s">
        <v>772</v>
      </c>
      <c r="D453" s="41" t="s">
        <v>773</v>
      </c>
      <c r="E453" s="37">
        <f>Source!AQ192</f>
        <v>36.96</v>
      </c>
      <c r="F453" s="37">
        <f>ROUND(1.15*1.2,7)</f>
        <v>1.38</v>
      </c>
      <c r="G453" s="37">
        <f>ROUND(Source!U192,7)</f>
        <v>0.2346221</v>
      </c>
      <c r="H453" s="34"/>
      <c r="I453" s="42"/>
      <c r="J453" s="34"/>
      <c r="K453" s="42"/>
      <c r="L453" s="34"/>
    </row>
    <row r="454" spans="1:12" ht="14.25">
      <c r="A454" s="57"/>
      <c r="B454" s="57"/>
      <c r="C454" s="59" t="s">
        <v>784</v>
      </c>
      <c r="D454" s="43" t="s">
        <v>773</v>
      </c>
      <c r="E454" s="44">
        <f>Source!AR192</f>
        <v>36.24</v>
      </c>
      <c r="F454" s="44">
        <f>ROUND(1.15*1.2,7)</f>
        <v>1.38</v>
      </c>
      <c r="G454" s="44">
        <f>ROUND(Source!V192,7)</f>
        <v>0.2300515</v>
      </c>
      <c r="H454" s="45"/>
      <c r="I454" s="46"/>
      <c r="J454" s="45"/>
      <c r="K454" s="46"/>
      <c r="L454" s="45"/>
    </row>
    <row r="455" spans="1:12" ht="14.25">
      <c r="A455" s="57"/>
      <c r="B455" s="57"/>
      <c r="C455" s="57" t="s">
        <v>774</v>
      </c>
      <c r="D455" s="41"/>
      <c r="E455" s="37"/>
      <c r="F455" s="37"/>
      <c r="G455" s="37"/>
      <c r="H455" s="34">
        <f>H449+H450+H452</f>
        <v>47238.479999999996</v>
      </c>
      <c r="I455" s="42"/>
      <c r="J455" s="34">
        <f>J449+J450+J452</f>
        <v>225.4</v>
      </c>
      <c r="K455" s="42"/>
      <c r="L455" s="34"/>
    </row>
    <row r="456" spans="1:56" ht="57">
      <c r="A456" s="57" t="s">
        <v>280</v>
      </c>
      <c r="B456" s="57" t="str">
        <f>Source!F193</f>
        <v>408-0020</v>
      </c>
      <c r="C456" s="57" t="s">
        <v>840</v>
      </c>
      <c r="D456" s="41" t="str">
        <f>Source!H193</f>
        <v>м3</v>
      </c>
      <c r="E456" s="37">
        <f>SmtRes!AT173</f>
        <v>-189</v>
      </c>
      <c r="F456" s="37"/>
      <c r="G456" s="37">
        <f>Source!I193</f>
        <v>-0.8694</v>
      </c>
      <c r="H456" s="34">
        <f>Source!AL193+Source!AO193+Source!AM193</f>
        <v>199.6</v>
      </c>
      <c r="I456" s="42"/>
      <c r="J456" s="34">
        <f>ROUND(Source!AC193*Source!I193,2)+ROUND(Source!AD193*Source!I193,2)+ROUND(Source!AF193*Source!I193,2)</f>
        <v>-173.53</v>
      </c>
      <c r="K456" s="42"/>
      <c r="L456" s="34"/>
      <c r="AF456" s="32">
        <f>J456</f>
        <v>-173.53</v>
      </c>
      <c r="AG456">
        <f>Source!X193</f>
        <v>0</v>
      </c>
      <c r="AH456">
        <f>Source!HK193</f>
        <v>0</v>
      </c>
      <c r="AI456">
        <f>Source!Y193</f>
        <v>0</v>
      </c>
      <c r="AJ456">
        <f>Source!HL193</f>
        <v>0</v>
      </c>
      <c r="AN456">
        <f>IF(Source!BI193&lt;=1,J456,0)</f>
        <v>-173.53</v>
      </c>
      <c r="AO456">
        <f>IF(Source!BI193&lt;=1,J456,0)</f>
        <v>-173.53</v>
      </c>
      <c r="AS456">
        <f>IF(Source!BI193&lt;=1,AH456,0)</f>
        <v>0</v>
      </c>
      <c r="AT456">
        <f>IF(Source!BI193&lt;=1,AJ456,0)</f>
        <v>0</v>
      </c>
      <c r="AX456">
        <f>IF(Source!BI193=2,J456,0)</f>
        <v>0</v>
      </c>
      <c r="AY456">
        <f>IF(Source!BI193=2,J456,0)</f>
        <v>0</v>
      </c>
      <c r="BC456">
        <f>IF(Source!BI193=2,AH456,0)</f>
        <v>0</v>
      </c>
      <c r="BD456">
        <f>IF(Source!BI193=2,AJ456,0)</f>
        <v>0</v>
      </c>
    </row>
    <row r="457" spans="1:56" ht="57">
      <c r="A457" s="57" t="s">
        <v>288</v>
      </c>
      <c r="B457" s="57" t="str">
        <f>Source!F194</f>
        <v>408-0018</v>
      </c>
      <c r="C457" s="57" t="s">
        <v>841</v>
      </c>
      <c r="D457" s="41" t="str">
        <f>Source!H194</f>
        <v>м3</v>
      </c>
      <c r="E457" s="37">
        <f>SmtRes!AT172</f>
        <v>-15</v>
      </c>
      <c r="F457" s="37"/>
      <c r="G457" s="37">
        <f>Source!I194</f>
        <v>-0.069</v>
      </c>
      <c r="H457" s="34">
        <f>Source!AL194+Source!AO194+Source!AM194</f>
        <v>312.47</v>
      </c>
      <c r="I457" s="42"/>
      <c r="J457" s="34">
        <f>ROUND(Source!AC194*Source!I194,2)+ROUND(Source!AD194*Source!I194,2)+ROUND(Source!AF194*Source!I194,2)</f>
        <v>-21.56</v>
      </c>
      <c r="K457" s="42"/>
      <c r="L457" s="34"/>
      <c r="AF457" s="32">
        <f>J457</f>
        <v>-21.56</v>
      </c>
      <c r="AG457">
        <f>Source!X194</f>
        <v>0</v>
      </c>
      <c r="AH457">
        <f>Source!HK194</f>
        <v>0</v>
      </c>
      <c r="AI457">
        <f>Source!Y194</f>
        <v>0</v>
      </c>
      <c r="AJ457">
        <f>Source!HL194</f>
        <v>0</v>
      </c>
      <c r="AN457">
        <f>IF(Source!BI194&lt;=1,J457,0)</f>
        <v>-21.56</v>
      </c>
      <c r="AO457">
        <f>IF(Source!BI194&lt;=1,J457,0)</f>
        <v>-21.56</v>
      </c>
      <c r="AS457">
        <f>IF(Source!BI194&lt;=1,AH457,0)</f>
        <v>0</v>
      </c>
      <c r="AT457">
        <f>IF(Source!BI194&lt;=1,AJ457,0)</f>
        <v>0</v>
      </c>
      <c r="AX457">
        <f>IF(Source!BI194=2,J457,0)</f>
        <v>0</v>
      </c>
      <c r="AY457">
        <f>IF(Source!BI194=2,J457,0)</f>
        <v>0</v>
      </c>
      <c r="BC457">
        <f>IF(Source!BI194=2,AH457,0)</f>
        <v>0</v>
      </c>
      <c r="BD457">
        <f>IF(Source!BI194=2,AJ457,0)</f>
        <v>0</v>
      </c>
    </row>
    <row r="458" spans="1:12" ht="14.25">
      <c r="A458" s="57"/>
      <c r="B458" s="57"/>
      <c r="C458" s="57" t="s">
        <v>775</v>
      </c>
      <c r="D458" s="41"/>
      <c r="E458" s="37"/>
      <c r="F458" s="37"/>
      <c r="G458" s="37"/>
      <c r="H458" s="34"/>
      <c r="I458" s="42"/>
      <c r="J458" s="34">
        <f>SUM(Q446:Q461)+SUM(V446:V461)+SUM(X446:X461)+SUM(Y446:Y461)</f>
        <v>4.7700000000000005</v>
      </c>
      <c r="K458" s="42"/>
      <c r="L458" s="34">
        <f>SUM(U446:U461)+SUM(W446:W461)+SUM(Z446:Z461)+SUM(AA446:AA461)</f>
        <v>138</v>
      </c>
    </row>
    <row r="459" spans="1:12" ht="14.25">
      <c r="A459" s="57"/>
      <c r="B459" s="57" t="s">
        <v>259</v>
      </c>
      <c r="C459" s="57" t="s">
        <v>836</v>
      </c>
      <c r="D459" s="41" t="s">
        <v>777</v>
      </c>
      <c r="E459" s="37">
        <f>Source!BZ192</f>
        <v>147</v>
      </c>
      <c r="F459" s="37"/>
      <c r="G459" s="37">
        <f>Source!AT192</f>
        <v>147</v>
      </c>
      <c r="H459" s="34"/>
      <c r="I459" s="42"/>
      <c r="J459" s="34">
        <f>SUM(AG446:AG461)</f>
        <v>7.01</v>
      </c>
      <c r="K459" s="42"/>
      <c r="L459" s="34">
        <f>SUM(AH446:AH461)</f>
        <v>202.86</v>
      </c>
    </row>
    <row r="460" spans="1:12" ht="14.25">
      <c r="A460" s="59"/>
      <c r="B460" s="59" t="s">
        <v>260</v>
      </c>
      <c r="C460" s="59" t="s">
        <v>837</v>
      </c>
      <c r="D460" s="43" t="s">
        <v>777</v>
      </c>
      <c r="E460" s="44">
        <f>Source!CA192</f>
        <v>95</v>
      </c>
      <c r="F460" s="44"/>
      <c r="G460" s="44">
        <f>Source!AU192</f>
        <v>95</v>
      </c>
      <c r="H460" s="45"/>
      <c r="I460" s="46"/>
      <c r="J460" s="45">
        <f>SUM(AI446:AI461)</f>
        <v>4.53</v>
      </c>
      <c r="K460" s="46"/>
      <c r="L460" s="45">
        <f>SUM(AJ446:AJ461)</f>
        <v>131.1</v>
      </c>
    </row>
    <row r="461" spans="3:53" ht="15">
      <c r="C461" s="102" t="s">
        <v>779</v>
      </c>
      <c r="D461" s="102"/>
      <c r="E461" s="102"/>
      <c r="F461" s="102"/>
      <c r="G461" s="102"/>
      <c r="H461" s="102"/>
      <c r="I461" s="102">
        <f>J449+J450+J452+J459+J460+SUM(J456:J457)</f>
        <v>41.849999999999994</v>
      </c>
      <c r="J461" s="102"/>
      <c r="O461" s="32">
        <f>I461</f>
        <v>41.849999999999994</v>
      </c>
      <c r="P461">
        <f>K461</f>
        <v>0</v>
      </c>
      <c r="Q461" s="32">
        <f>J449</f>
        <v>1.86</v>
      </c>
      <c r="R461" s="32">
        <f>J449</f>
        <v>1.86</v>
      </c>
      <c r="U461" s="32">
        <f>L449</f>
        <v>53.81</v>
      </c>
      <c r="X461" s="32">
        <f>J451</f>
        <v>2.91</v>
      </c>
      <c r="Z461" s="32">
        <f>L451</f>
        <v>84.19</v>
      </c>
      <c r="AB461" s="32">
        <f>J450</f>
        <v>27.58</v>
      </c>
      <c r="AD461" s="32">
        <f>L450</f>
        <v>0</v>
      </c>
      <c r="AF461" s="32">
        <f>J452</f>
        <v>195.96</v>
      </c>
      <c r="AN461">
        <f>IF(Source!BI192&lt;=1,J449+J450+J452+J459+J460,0)</f>
        <v>236.94</v>
      </c>
      <c r="AO461">
        <f>IF(Source!BI192&lt;=1,J452,0)</f>
        <v>195.96</v>
      </c>
      <c r="AP461">
        <f>IF(Source!BI192&lt;=1,J450,0)</f>
        <v>27.58</v>
      </c>
      <c r="AQ461">
        <f>IF(Source!BI192&lt;=1,J449,0)</f>
        <v>1.86</v>
      </c>
      <c r="AX461">
        <f>IF(Source!BI192=2,J449+J450+J452+J459+J460,0)</f>
        <v>0</v>
      </c>
      <c r="AY461">
        <f>IF(Source!BI192=2,J452,0)</f>
        <v>0</v>
      </c>
      <c r="AZ461">
        <f>IF(Source!BI192=2,J450,0)</f>
        <v>0</v>
      </c>
      <c r="BA461">
        <f>IF(Source!BI192=2,J449,0)</f>
        <v>0</v>
      </c>
    </row>
    <row r="462" spans="1:56" ht="146.25">
      <c r="A462" s="57">
        <v>33</v>
      </c>
      <c r="B462" s="57" t="str">
        <f>Source!F195</f>
        <v>27-04-007-4</v>
      </c>
      <c r="C462" s="57" t="s">
        <v>842</v>
      </c>
      <c r="D462" s="41" t="str">
        <f>Source!H195</f>
        <v>1000 м2 основания</v>
      </c>
      <c r="E462" s="37">
        <f>Source!K195</f>
        <v>0.0046</v>
      </c>
      <c r="F462" s="37"/>
      <c r="G462" s="37">
        <f>Source!I195</f>
        <v>0.0046</v>
      </c>
      <c r="H462" s="34"/>
      <c r="I462" s="42"/>
      <c r="J462" s="34"/>
      <c r="K462" s="42"/>
      <c r="L462" s="34"/>
      <c r="AG462">
        <f>Source!X195</f>
        <v>1.37</v>
      </c>
      <c r="AH462">
        <f>Source!HK195</f>
        <v>39.54</v>
      </c>
      <c r="AI462">
        <f>Source!Y195</f>
        <v>0.88</v>
      </c>
      <c r="AJ462">
        <f>Source!HL195</f>
        <v>25.56</v>
      </c>
      <c r="AS462">
        <f>IF(Source!BI195&lt;=1,AH462,0)</f>
        <v>39.54</v>
      </c>
      <c r="AT462">
        <f>IF(Source!BI195&lt;=1,AJ462,0)</f>
        <v>25.56</v>
      </c>
      <c r="BC462">
        <f>IF(Source!BI195=2,AH462,0)</f>
        <v>0</v>
      </c>
      <c r="BD462">
        <f>IF(Source!BI195=2,AJ462,0)</f>
        <v>0</v>
      </c>
    </row>
    <row r="464" ht="12.75">
      <c r="C464" s="31" t="str">
        <f>"Объем: "&amp;Source!K195&amp;"=4,6/"&amp;"1000"</f>
        <v>Объем: 0,0046=4,6/1000</v>
      </c>
    </row>
    <row r="465" spans="1:12" ht="14.25">
      <c r="A465" s="57"/>
      <c r="B465" s="58">
        <v>3</v>
      </c>
      <c r="C465" s="57" t="s">
        <v>782</v>
      </c>
      <c r="D465" s="41"/>
      <c r="E465" s="37"/>
      <c r="F465" s="37"/>
      <c r="G465" s="37"/>
      <c r="H465" s="34">
        <f>Source!AM195</f>
        <v>277.08</v>
      </c>
      <c r="I465" s="42">
        <f>ROUND(1.15*5*1.2,7)</f>
        <v>6.9</v>
      </c>
      <c r="J465" s="34">
        <f>ROUND(Source!AD195*Source!I195,2)</f>
        <v>8.79</v>
      </c>
      <c r="K465" s="42"/>
      <c r="L465" s="34"/>
    </row>
    <row r="466" spans="1:12" ht="14.25">
      <c r="A466" s="57"/>
      <c r="B466" s="58">
        <v>2</v>
      </c>
      <c r="C466" s="57" t="s">
        <v>783</v>
      </c>
      <c r="D466" s="41"/>
      <c r="E466" s="37"/>
      <c r="F466" s="37"/>
      <c r="G466" s="37"/>
      <c r="H466" s="34">
        <f>Source!AN195</f>
        <v>29.29</v>
      </c>
      <c r="I466" s="42">
        <f>ROUND(1.15*5*1.2,7)</f>
        <v>6.9</v>
      </c>
      <c r="J466" s="47">
        <f>ROUND(Source!AE195*Source!I195,2)</f>
        <v>0.93</v>
      </c>
      <c r="K466" s="42">
        <f>IF(Source!BS195&lt;&gt;0,Source!BS195,1)</f>
        <v>28.93</v>
      </c>
      <c r="L466" s="47">
        <f>Source!HI195</f>
        <v>26.9</v>
      </c>
    </row>
    <row r="467" spans="1:12" ht="14.25">
      <c r="A467" s="57"/>
      <c r="B467" s="58">
        <v>4</v>
      </c>
      <c r="C467" s="57" t="s">
        <v>793</v>
      </c>
      <c r="D467" s="41"/>
      <c r="E467" s="37"/>
      <c r="F467" s="37"/>
      <c r="G467" s="37"/>
      <c r="H467" s="34">
        <f>Source!AL195</f>
        <v>2514.96</v>
      </c>
      <c r="I467" s="42">
        <f>ROUND(5,7)</f>
        <v>5</v>
      </c>
      <c r="J467" s="34">
        <f>ROUND(Source!AC195*Source!I195,2)</f>
        <v>57.84</v>
      </c>
      <c r="K467" s="42"/>
      <c r="L467" s="34"/>
    </row>
    <row r="468" spans="1:12" ht="14.25">
      <c r="A468" s="57"/>
      <c r="B468" s="57"/>
      <c r="C468" s="59" t="s">
        <v>784</v>
      </c>
      <c r="D468" s="43" t="s">
        <v>773</v>
      </c>
      <c r="E468" s="44">
        <f>Source!AR195</f>
        <v>2.51</v>
      </c>
      <c r="F468" s="44">
        <f>ROUND(1.15*5*1.2,7)</f>
        <v>6.9</v>
      </c>
      <c r="G468" s="44">
        <f>ROUND(Source!V195,7)</f>
        <v>0.0796674</v>
      </c>
      <c r="H468" s="45"/>
      <c r="I468" s="46"/>
      <c r="J468" s="45"/>
      <c r="K468" s="46"/>
      <c r="L468" s="45"/>
    </row>
    <row r="469" spans="1:12" ht="14.25">
      <c r="A469" s="57"/>
      <c r="B469" s="57"/>
      <c r="C469" s="57" t="s">
        <v>774</v>
      </c>
      <c r="D469" s="41"/>
      <c r="E469" s="37"/>
      <c r="F469" s="37"/>
      <c r="G469" s="37"/>
      <c r="H469" s="34">
        <f>H465+H467</f>
        <v>2792.04</v>
      </c>
      <c r="I469" s="42"/>
      <c r="J469" s="34">
        <f>J465+J467</f>
        <v>66.63</v>
      </c>
      <c r="K469" s="42"/>
      <c r="L469" s="34"/>
    </row>
    <row r="470" spans="1:56" ht="57">
      <c r="A470" s="57" t="s">
        <v>298</v>
      </c>
      <c r="B470" s="57" t="str">
        <f>Source!F196</f>
        <v>408-0020</v>
      </c>
      <c r="C470" s="57" t="s">
        <v>840</v>
      </c>
      <c r="D470" s="41" t="str">
        <f>Source!H196</f>
        <v>м3</v>
      </c>
      <c r="E470" s="37">
        <f>SmtRes!AT179</f>
        <v>-12.6</v>
      </c>
      <c r="F470" s="37">
        <f>ROUND(5,7)</f>
        <v>5</v>
      </c>
      <c r="G470" s="37">
        <f>Source!I196</f>
        <v>-0.2898</v>
      </c>
      <c r="H470" s="34">
        <f>Source!AL196+Source!AO196+Source!AM196</f>
        <v>199.6</v>
      </c>
      <c r="I470" s="42"/>
      <c r="J470" s="34">
        <f>ROUND(Source!AC196*Source!I196,2)+ROUND(Source!AD196*Source!I196,2)+ROUND(Source!AF196*Source!I196,2)</f>
        <v>-57.84</v>
      </c>
      <c r="K470" s="42"/>
      <c r="L470" s="34"/>
      <c r="AF470" s="32">
        <f>J470</f>
        <v>-57.84</v>
      </c>
      <c r="AG470">
        <f>Source!X196</f>
        <v>0</v>
      </c>
      <c r="AH470">
        <f>Source!HK196</f>
        <v>0</v>
      </c>
      <c r="AI470">
        <f>Source!Y196</f>
        <v>0</v>
      </c>
      <c r="AJ470">
        <f>Source!HL196</f>
        <v>0</v>
      </c>
      <c r="AN470">
        <f>IF(Source!BI196&lt;=1,J470,0)</f>
        <v>-57.84</v>
      </c>
      <c r="AO470">
        <f>IF(Source!BI196&lt;=1,J470,0)</f>
        <v>-57.84</v>
      </c>
      <c r="AS470">
        <f>IF(Source!BI196&lt;=1,AH470,0)</f>
        <v>0</v>
      </c>
      <c r="AT470">
        <f>IF(Source!BI196&lt;=1,AJ470,0)</f>
        <v>0</v>
      </c>
      <c r="AX470">
        <f>IF(Source!BI196=2,J470,0)</f>
        <v>0</v>
      </c>
      <c r="AY470">
        <f>IF(Source!BI196=2,J470,0)</f>
        <v>0</v>
      </c>
      <c r="BC470">
        <f>IF(Source!BI196=2,AH470,0)</f>
        <v>0</v>
      </c>
      <c r="BD470">
        <f>IF(Source!BI196=2,AJ470,0)</f>
        <v>0</v>
      </c>
    </row>
    <row r="471" spans="1:12" ht="14.25">
      <c r="A471" s="57"/>
      <c r="B471" s="57"/>
      <c r="C471" s="57" t="s">
        <v>775</v>
      </c>
      <c r="D471" s="41"/>
      <c r="E471" s="37"/>
      <c r="F471" s="37"/>
      <c r="G471" s="37"/>
      <c r="H471" s="34"/>
      <c r="I471" s="42"/>
      <c r="J471" s="34">
        <f>SUM(Q462:Q474)+SUM(V462:V474)+SUM(X462:X474)+SUM(Y462:Y474)</f>
        <v>0.93</v>
      </c>
      <c r="K471" s="42"/>
      <c r="L471" s="34">
        <f>SUM(U462:U474)+SUM(W462:W474)+SUM(Z462:Z474)+SUM(AA462:AA474)</f>
        <v>26.9</v>
      </c>
    </row>
    <row r="472" spans="1:12" ht="14.25">
      <c r="A472" s="57"/>
      <c r="B472" s="57" t="s">
        <v>259</v>
      </c>
      <c r="C472" s="57" t="s">
        <v>836</v>
      </c>
      <c r="D472" s="41" t="s">
        <v>777</v>
      </c>
      <c r="E472" s="37">
        <f>Source!BZ195</f>
        <v>147</v>
      </c>
      <c r="F472" s="37"/>
      <c r="G472" s="37">
        <f>Source!AT195</f>
        <v>147</v>
      </c>
      <c r="H472" s="34"/>
      <c r="I472" s="42"/>
      <c r="J472" s="34">
        <f>SUM(AG462:AG474)</f>
        <v>1.37</v>
      </c>
      <c r="K472" s="42"/>
      <c r="L472" s="34">
        <f>SUM(AH462:AH474)</f>
        <v>39.54</v>
      </c>
    </row>
    <row r="473" spans="1:12" ht="14.25">
      <c r="A473" s="59"/>
      <c r="B473" s="59" t="s">
        <v>260</v>
      </c>
      <c r="C473" s="59" t="s">
        <v>837</v>
      </c>
      <c r="D473" s="43" t="s">
        <v>777</v>
      </c>
      <c r="E473" s="44">
        <f>Source!CA195</f>
        <v>95</v>
      </c>
      <c r="F473" s="44"/>
      <c r="G473" s="44">
        <f>Source!AU195</f>
        <v>95</v>
      </c>
      <c r="H473" s="45"/>
      <c r="I473" s="46"/>
      <c r="J473" s="45">
        <f>SUM(AI462:AI474)</f>
        <v>0.88</v>
      </c>
      <c r="K473" s="46"/>
      <c r="L473" s="45">
        <f>SUM(AJ462:AJ474)</f>
        <v>25.56</v>
      </c>
    </row>
    <row r="474" spans="3:53" ht="15">
      <c r="C474" s="102" t="s">
        <v>779</v>
      </c>
      <c r="D474" s="102"/>
      <c r="E474" s="102"/>
      <c r="F474" s="102"/>
      <c r="G474" s="102"/>
      <c r="H474" s="102"/>
      <c r="I474" s="102">
        <f>J465+J467+J472+J473+SUM(J470:J470)</f>
        <v>11.039999999999992</v>
      </c>
      <c r="J474" s="102"/>
      <c r="O474" s="32">
        <f>I474</f>
        <v>11.039999999999992</v>
      </c>
      <c r="P474">
        <f>K474</f>
        <v>0</v>
      </c>
      <c r="Q474">
        <f>0</f>
        <v>0</v>
      </c>
      <c r="R474">
        <f>0</f>
        <v>0</v>
      </c>
      <c r="U474">
        <f>0</f>
        <v>0</v>
      </c>
      <c r="X474" s="32">
        <f>J466</f>
        <v>0.93</v>
      </c>
      <c r="Z474" s="32">
        <f>L466</f>
        <v>26.9</v>
      </c>
      <c r="AB474" s="32">
        <f>J465</f>
        <v>8.79</v>
      </c>
      <c r="AD474" s="32">
        <f>L465</f>
        <v>0</v>
      </c>
      <c r="AF474" s="32">
        <f>J467</f>
        <v>57.84</v>
      </c>
      <c r="AN474">
        <f>IF(Source!BI195&lt;=1,J465+J467+J472+J473,0)</f>
        <v>68.88</v>
      </c>
      <c r="AO474">
        <f>IF(Source!BI195&lt;=1,J467,0)</f>
        <v>57.84</v>
      </c>
      <c r="AP474">
        <f>IF(Source!BI195&lt;=1,J465,0)</f>
        <v>8.79</v>
      </c>
      <c r="AQ474">
        <f>IF(Source!BI195&lt;=1,0,0)</f>
        <v>0</v>
      </c>
      <c r="AX474">
        <f>IF(Source!BI195=2,J465+J467+J472+J473,0)</f>
        <v>0</v>
      </c>
      <c r="AY474">
        <f>IF(Source!BI195=2,J467,0)</f>
        <v>0</v>
      </c>
      <c r="AZ474">
        <f>IF(Source!BI195=2,J465,0)</f>
        <v>0</v>
      </c>
      <c r="BA474">
        <f>IF(Source!BI195=2,0,0)</f>
        <v>0</v>
      </c>
    </row>
    <row r="475" spans="1:56" ht="42.75">
      <c r="A475" s="57">
        <v>34</v>
      </c>
      <c r="B475" s="57" t="str">
        <f>Source!F197</f>
        <v>прайс-лист</v>
      </c>
      <c r="C475" s="57" t="str">
        <f>Source!G197</f>
        <v>Щебень из природного камня для строительных работ марка 600, фракция 40-70 мм</v>
      </c>
      <c r="D475" s="41" t="str">
        <f>Source!H197</f>
        <v>м3</v>
      </c>
      <c r="E475" s="37">
        <f>Source!K197</f>
        <v>1.2282</v>
      </c>
      <c r="F475" s="37"/>
      <c r="G475" s="37">
        <f>Source!I197</f>
        <v>1.2282</v>
      </c>
      <c r="H475" s="34">
        <f>Source!AL197</f>
        <v>2346.34</v>
      </c>
      <c r="I475" s="42"/>
      <c r="J475" s="34">
        <f>Source!P197</f>
        <v>559.57</v>
      </c>
      <c r="K475" s="42">
        <f>IF(Source!BC197&lt;&gt;0,Source!BC197,1)</f>
        <v>5.15</v>
      </c>
      <c r="L475" s="34">
        <f>Source!HG197</f>
        <v>2881.77</v>
      </c>
      <c r="AG475">
        <f>Source!X197</f>
        <v>0</v>
      </c>
      <c r="AH475">
        <f>Source!HK197</f>
        <v>0</v>
      </c>
      <c r="AI475">
        <f>Source!Y197</f>
        <v>0</v>
      </c>
      <c r="AJ475">
        <f>Source!HL197</f>
        <v>0</v>
      </c>
      <c r="AS475">
        <f>IF(Source!BI197&lt;=1,AH475,0)</f>
        <v>0</v>
      </c>
      <c r="AT475">
        <f>IF(Source!BI197&lt;=1,AJ475,0)</f>
        <v>0</v>
      </c>
      <c r="BC475">
        <f>IF(Source!BI197=2,AH475,0)</f>
        <v>0</v>
      </c>
      <c r="BD475">
        <f>IF(Source!BI197=2,AJ475,0)</f>
        <v>0</v>
      </c>
    </row>
    <row r="477" spans="1:12" ht="12.75">
      <c r="A477" s="35"/>
      <c r="B477" s="35"/>
      <c r="C477" s="36" t="str">
        <f>"Объем: "&amp;Source!K197&amp;"=0,8694+"&amp;"0,069+"&amp;"0,2898"</f>
        <v>Объем: 1,2282=0,8694+0,069+0,2898</v>
      </c>
      <c r="D477" s="35"/>
      <c r="E477" s="35"/>
      <c r="F477" s="35"/>
      <c r="G477" s="35"/>
      <c r="H477" s="35"/>
      <c r="I477" s="35"/>
      <c r="J477" s="35"/>
      <c r="K477" s="35"/>
      <c r="L477" s="35"/>
    </row>
    <row r="478" spans="3:71" ht="15">
      <c r="C478" s="102" t="s">
        <v>779</v>
      </c>
      <c r="D478" s="102"/>
      <c r="E478" s="102"/>
      <c r="F478" s="102"/>
      <c r="G478" s="102"/>
      <c r="H478" s="102"/>
      <c r="I478" s="102">
        <f>J475</f>
        <v>559.57</v>
      </c>
      <c r="J478" s="102"/>
      <c r="K478" s="102">
        <f>L475</f>
        <v>2881.77</v>
      </c>
      <c r="L478" s="102"/>
      <c r="O478" s="32">
        <f>I478</f>
        <v>559.57</v>
      </c>
      <c r="P478" s="32">
        <f>K478</f>
        <v>2881.77</v>
      </c>
      <c r="Q478">
        <f>0</f>
        <v>0</v>
      </c>
      <c r="R478">
        <f>0</f>
        <v>0</v>
      </c>
      <c r="U478">
        <f>0</f>
        <v>0</v>
      </c>
      <c r="X478">
        <f>0</f>
        <v>0</v>
      </c>
      <c r="Z478">
        <f>0</f>
        <v>0</v>
      </c>
      <c r="AB478">
        <f>0</f>
        <v>0</v>
      </c>
      <c r="AD478">
        <f>0</f>
        <v>0</v>
      </c>
      <c r="AF478" s="32">
        <f>I478</f>
        <v>559.57</v>
      </c>
      <c r="AN478">
        <f>IF(Source!BI197&lt;=1,J475,0)</f>
        <v>0</v>
      </c>
      <c r="AO478">
        <f>IF(Source!BI197&lt;=1,I478,0)</f>
        <v>0</v>
      </c>
      <c r="AP478">
        <f>IF(Source!BI197&lt;=1,0,0)</f>
        <v>0</v>
      </c>
      <c r="AQ478">
        <f>IF(Source!BI197&lt;=1,0,0)</f>
        <v>0</v>
      </c>
      <c r="AX478">
        <f>IF(Source!BI197=2,J475,0)</f>
        <v>559.57</v>
      </c>
      <c r="AY478">
        <f>IF(Source!BI197=2,I478,0)</f>
        <v>559.57</v>
      </c>
      <c r="AZ478">
        <f>IF(Source!BI197=2,0,0)</f>
        <v>0</v>
      </c>
      <c r="BA478">
        <f>IF(Source!BI197=2,0,0)</f>
        <v>0</v>
      </c>
      <c r="BQ478" s="32">
        <f>I478</f>
        <v>559.57</v>
      </c>
      <c r="BS478" s="32">
        <f>K478</f>
        <v>2881.77</v>
      </c>
    </row>
    <row r="479" spans="1:56" ht="90.75">
      <c r="A479" s="57">
        <v>35</v>
      </c>
      <c r="B479" s="57" t="str">
        <f>Source!F198</f>
        <v>27-06-026-1</v>
      </c>
      <c r="C479" s="57" t="s">
        <v>843</v>
      </c>
      <c r="D479" s="41" t="str">
        <f>Source!H198</f>
        <v>1 Т</v>
      </c>
      <c r="E479" s="37">
        <f>Source!K198</f>
        <v>0.0023</v>
      </c>
      <c r="F479" s="37"/>
      <c r="G479" s="37">
        <f>Source!I198</f>
        <v>0.0023</v>
      </c>
      <c r="H479" s="34"/>
      <c r="I479" s="42"/>
      <c r="J479" s="34"/>
      <c r="K479" s="42"/>
      <c r="L479" s="34"/>
      <c r="AG479">
        <f>Source!X198</f>
        <v>0.03</v>
      </c>
      <c r="AH479">
        <f>Source!HK198</f>
        <v>0.85</v>
      </c>
      <c r="AI479">
        <f>Source!Y198</f>
        <v>0.03</v>
      </c>
      <c r="AJ479">
        <f>Source!HL198</f>
        <v>0.78</v>
      </c>
      <c r="AS479">
        <f>IF(Source!BI198&lt;=1,AH479,0)</f>
        <v>0.85</v>
      </c>
      <c r="AT479">
        <f>IF(Source!BI198&lt;=1,AJ479,0)</f>
        <v>0.78</v>
      </c>
      <c r="BC479">
        <f>IF(Source!BI198=2,AH479,0)</f>
        <v>0</v>
      </c>
      <c r="BD479">
        <f>IF(Source!BI198=2,AJ479,0)</f>
        <v>0</v>
      </c>
    </row>
    <row r="481" ht="12.75">
      <c r="C481" s="31" t="str">
        <f>"Объем: "&amp;Source!K198&amp;"=4,6*"&amp;"0,0005"</f>
        <v>Объем: 0,0023=4,6*0,0005</v>
      </c>
    </row>
    <row r="482" spans="1:12" ht="14.25">
      <c r="A482" s="57"/>
      <c r="B482" s="58">
        <v>3</v>
      </c>
      <c r="C482" s="57" t="s">
        <v>782</v>
      </c>
      <c r="D482" s="41"/>
      <c r="E482" s="37"/>
      <c r="F482" s="37"/>
      <c r="G482" s="37"/>
      <c r="H482" s="34">
        <f>Source!AM198</f>
        <v>48.56</v>
      </c>
      <c r="I482" s="42">
        <f>ROUND(1.15*1.2,7)</f>
        <v>1.38</v>
      </c>
      <c r="J482" s="34">
        <f>ROUND(Source!AD198*Source!I198,2)</f>
        <v>0.15</v>
      </c>
      <c r="K482" s="42"/>
      <c r="L482" s="34"/>
    </row>
    <row r="483" spans="1:12" ht="14.25">
      <c r="A483" s="57"/>
      <c r="B483" s="58">
        <v>2</v>
      </c>
      <c r="C483" s="57" t="s">
        <v>783</v>
      </c>
      <c r="D483" s="41"/>
      <c r="E483" s="37"/>
      <c r="F483" s="37"/>
      <c r="G483" s="37"/>
      <c r="H483" s="34">
        <f>Source!AN198</f>
        <v>6.95</v>
      </c>
      <c r="I483" s="42">
        <f>ROUND(1.15*1.2,7)</f>
        <v>1.38</v>
      </c>
      <c r="J483" s="47">
        <f>ROUND(Source!AE198*Source!I198,2)</f>
        <v>0.02</v>
      </c>
      <c r="K483" s="42">
        <f>IF(Source!BS198&lt;&gt;0,Source!BS198,1)</f>
        <v>28.93</v>
      </c>
      <c r="L483" s="47">
        <f>Source!HI198</f>
        <v>0.58</v>
      </c>
    </row>
    <row r="484" spans="1:12" ht="14.25">
      <c r="A484" s="57"/>
      <c r="B484" s="58">
        <v>4</v>
      </c>
      <c r="C484" s="57" t="s">
        <v>793</v>
      </c>
      <c r="D484" s="41"/>
      <c r="E484" s="37"/>
      <c r="F484" s="37"/>
      <c r="G484" s="37"/>
      <c r="H484" s="34">
        <f>Source!AL198</f>
        <v>2466.91</v>
      </c>
      <c r="I484" s="42"/>
      <c r="J484" s="34">
        <f>ROUND(Source!AC198*Source!I198,2)</f>
        <v>5.67</v>
      </c>
      <c r="K484" s="42"/>
      <c r="L484" s="34"/>
    </row>
    <row r="485" spans="1:12" ht="14.25">
      <c r="A485" s="57"/>
      <c r="B485" s="57"/>
      <c r="C485" s="59" t="s">
        <v>784</v>
      </c>
      <c r="D485" s="43" t="s">
        <v>773</v>
      </c>
      <c r="E485" s="44">
        <f>Source!AR198</f>
        <v>0.66</v>
      </c>
      <c r="F485" s="44">
        <f>ROUND(1.15*1.2,7)</f>
        <v>1.38</v>
      </c>
      <c r="G485" s="44">
        <f>ROUND(Source!V198,7)</f>
        <v>0.0020948</v>
      </c>
      <c r="H485" s="45"/>
      <c r="I485" s="46"/>
      <c r="J485" s="45"/>
      <c r="K485" s="46"/>
      <c r="L485" s="45"/>
    </row>
    <row r="486" spans="1:12" ht="14.25">
      <c r="A486" s="57"/>
      <c r="B486" s="57"/>
      <c r="C486" s="57" t="s">
        <v>774</v>
      </c>
      <c r="D486" s="41"/>
      <c r="E486" s="37"/>
      <c r="F486" s="37"/>
      <c r="G486" s="37"/>
      <c r="H486" s="34">
        <f>H482+H484</f>
        <v>2515.47</v>
      </c>
      <c r="I486" s="42"/>
      <c r="J486" s="34">
        <f>J482+J484</f>
        <v>5.82</v>
      </c>
      <c r="K486" s="42"/>
      <c r="L486" s="34"/>
    </row>
    <row r="487" spans="1:12" ht="14.25">
      <c r="A487" s="57"/>
      <c r="B487" s="57"/>
      <c r="C487" s="57" t="s">
        <v>775</v>
      </c>
      <c r="D487" s="41"/>
      <c r="E487" s="37"/>
      <c r="F487" s="37"/>
      <c r="G487" s="37"/>
      <c r="H487" s="34"/>
      <c r="I487" s="42"/>
      <c r="J487" s="34">
        <f>SUM(Q479:Q490)+SUM(V479:V490)+SUM(X479:X490)+SUM(Y479:Y490)</f>
        <v>0.02</v>
      </c>
      <c r="K487" s="42"/>
      <c r="L487" s="34">
        <f>SUM(U479:U490)+SUM(W479:W490)+SUM(Z479:Z490)+SUM(AA479:AA490)</f>
        <v>0.58</v>
      </c>
    </row>
    <row r="488" spans="1:12" ht="14.25">
      <c r="A488" s="57"/>
      <c r="B488" s="57" t="s">
        <v>259</v>
      </c>
      <c r="C488" s="57" t="s">
        <v>836</v>
      </c>
      <c r="D488" s="41" t="s">
        <v>777</v>
      </c>
      <c r="E488" s="37">
        <f>Source!BZ198</f>
        <v>147</v>
      </c>
      <c r="F488" s="37"/>
      <c r="G488" s="37">
        <f>Source!AT198</f>
        <v>147</v>
      </c>
      <c r="H488" s="34"/>
      <c r="I488" s="42"/>
      <c r="J488" s="34">
        <f>SUM(AG479:AG490)</f>
        <v>0.03</v>
      </c>
      <c r="K488" s="42"/>
      <c r="L488" s="34">
        <f>SUM(AH479:AH490)</f>
        <v>0.85</v>
      </c>
    </row>
    <row r="489" spans="1:12" ht="14.25">
      <c r="A489" s="59"/>
      <c r="B489" s="59" t="s">
        <v>260</v>
      </c>
      <c r="C489" s="59" t="s">
        <v>837</v>
      </c>
      <c r="D489" s="43" t="s">
        <v>777</v>
      </c>
      <c r="E489" s="44">
        <f>Source!CA198</f>
        <v>134</v>
      </c>
      <c r="F489" s="44"/>
      <c r="G489" s="44">
        <f>Source!AU198</f>
        <v>134</v>
      </c>
      <c r="H489" s="45"/>
      <c r="I489" s="46"/>
      <c r="J489" s="45">
        <f>SUM(AI479:AI490)</f>
        <v>0.03</v>
      </c>
      <c r="K489" s="46"/>
      <c r="L489" s="45">
        <f>SUM(AJ479:AJ490)</f>
        <v>0.78</v>
      </c>
    </row>
    <row r="490" spans="3:53" ht="15">
      <c r="C490" s="102" t="s">
        <v>779</v>
      </c>
      <c r="D490" s="102"/>
      <c r="E490" s="102"/>
      <c r="F490" s="102"/>
      <c r="G490" s="102"/>
      <c r="H490" s="102"/>
      <c r="I490" s="102">
        <f>J482+J484+J488+J489</f>
        <v>5.880000000000001</v>
      </c>
      <c r="J490" s="102"/>
      <c r="O490" s="32">
        <f>I490</f>
        <v>5.880000000000001</v>
      </c>
      <c r="P490">
        <f>K490</f>
        <v>0</v>
      </c>
      <c r="Q490">
        <f>0</f>
        <v>0</v>
      </c>
      <c r="R490">
        <f>0</f>
        <v>0</v>
      </c>
      <c r="U490">
        <f>0</f>
        <v>0</v>
      </c>
      <c r="X490" s="32">
        <f>J483</f>
        <v>0.02</v>
      </c>
      <c r="Z490" s="32">
        <f>L483</f>
        <v>0.58</v>
      </c>
      <c r="AB490" s="32">
        <f>J482</f>
        <v>0.15</v>
      </c>
      <c r="AD490" s="32">
        <f>L482</f>
        <v>0</v>
      </c>
      <c r="AF490" s="32">
        <f>J484</f>
        <v>5.67</v>
      </c>
      <c r="AN490">
        <f>IF(Source!BI198&lt;=1,J482+J484+J488+J489,0)</f>
        <v>5.880000000000001</v>
      </c>
      <c r="AO490">
        <f>IF(Source!BI198&lt;=1,J484,0)</f>
        <v>5.67</v>
      </c>
      <c r="AP490">
        <f>IF(Source!BI198&lt;=1,J482,0)</f>
        <v>0.15</v>
      </c>
      <c r="AQ490">
        <f>IF(Source!BI198&lt;=1,0,0)</f>
        <v>0</v>
      </c>
      <c r="AX490">
        <f>IF(Source!BI198=2,J482+J484+J488+J489,0)</f>
        <v>0</v>
      </c>
      <c r="AY490">
        <f>IF(Source!BI198=2,J484,0)</f>
        <v>0</v>
      </c>
      <c r="AZ490">
        <f>IF(Source!BI198=2,J482,0)</f>
        <v>0</v>
      </c>
      <c r="BA490">
        <f>IF(Source!BI198=2,0,0)</f>
        <v>0</v>
      </c>
    </row>
    <row r="491" spans="1:56" ht="41.25">
      <c r="A491" s="57">
        <v>36</v>
      </c>
      <c r="B491" s="57" t="str">
        <f>Source!F199</f>
        <v>прайс-лист</v>
      </c>
      <c r="C491" s="57" t="s">
        <v>844</v>
      </c>
      <c r="D491" s="41" t="str">
        <f>Source!H199</f>
        <v>ТН</v>
      </c>
      <c r="E491" s="37">
        <f>Source!K199</f>
        <v>0.0023</v>
      </c>
      <c r="F491" s="37"/>
      <c r="G491" s="37">
        <f>Source!I199</f>
        <v>0.0023</v>
      </c>
      <c r="H491" s="34">
        <f>Source!AL199</f>
        <v>29166.67</v>
      </c>
      <c r="I491" s="42"/>
      <c r="J491" s="34">
        <f>Source!P199</f>
        <v>13.03</v>
      </c>
      <c r="K491" s="42">
        <f>IF(Source!BC199&lt;&gt;0,Source!BC199,1)</f>
        <v>5.15</v>
      </c>
      <c r="L491" s="34">
        <f>Source!HG199</f>
        <v>67.08</v>
      </c>
      <c r="AG491">
        <f>Source!X199</f>
        <v>0</v>
      </c>
      <c r="AH491">
        <f>Source!HK199</f>
        <v>0</v>
      </c>
      <c r="AI491">
        <f>Source!Y199</f>
        <v>0</v>
      </c>
      <c r="AJ491">
        <f>Source!HL199</f>
        <v>0</v>
      </c>
      <c r="AS491">
        <f>IF(Source!BI199&lt;=1,AH491,0)</f>
        <v>0</v>
      </c>
      <c r="AT491">
        <f>IF(Source!BI199&lt;=1,AJ491,0)</f>
        <v>0</v>
      </c>
      <c r="BC491">
        <f>IF(Source!BI199=2,AH491,0)</f>
        <v>0</v>
      </c>
      <c r="BD491">
        <f>IF(Source!BI199=2,AJ491,0)</f>
        <v>0</v>
      </c>
    </row>
    <row r="493" spans="1:12" ht="12.75">
      <c r="A493" s="35"/>
      <c r="B493" s="35"/>
      <c r="C493" s="36" t="str">
        <f>"Объем: "&amp;Source!K199&amp;"=4,6*"&amp;"0,0005"</f>
        <v>Объем: 0,0023=4,6*0,0005</v>
      </c>
      <c r="D493" s="35"/>
      <c r="E493" s="35"/>
      <c r="F493" s="35"/>
      <c r="G493" s="35"/>
      <c r="H493" s="35"/>
      <c r="I493" s="35"/>
      <c r="J493" s="35"/>
      <c r="K493" s="35"/>
      <c r="L493" s="35"/>
    </row>
    <row r="494" spans="3:71" ht="15">
      <c r="C494" s="102" t="s">
        <v>779</v>
      </c>
      <c r="D494" s="102"/>
      <c r="E494" s="102"/>
      <c r="F494" s="102"/>
      <c r="G494" s="102"/>
      <c r="H494" s="102"/>
      <c r="I494" s="102">
        <f>J491</f>
        <v>13.03</v>
      </c>
      <c r="J494" s="102"/>
      <c r="K494" s="102">
        <f>L491</f>
        <v>67.08</v>
      </c>
      <c r="L494" s="102"/>
      <c r="O494" s="32">
        <f>I494</f>
        <v>13.03</v>
      </c>
      <c r="P494" s="32">
        <f>K494</f>
        <v>67.08</v>
      </c>
      <c r="Q494">
        <f>0</f>
        <v>0</v>
      </c>
      <c r="R494">
        <f>0</f>
        <v>0</v>
      </c>
      <c r="U494">
        <f>0</f>
        <v>0</v>
      </c>
      <c r="X494">
        <f>0</f>
        <v>0</v>
      </c>
      <c r="Z494">
        <f>0</f>
        <v>0</v>
      </c>
      <c r="AB494">
        <f>0</f>
        <v>0</v>
      </c>
      <c r="AD494">
        <f>0</f>
        <v>0</v>
      </c>
      <c r="AF494" s="32">
        <f>I494</f>
        <v>13.03</v>
      </c>
      <c r="AN494">
        <f>IF(Source!BI199&lt;=1,J491,0)</f>
        <v>0</v>
      </c>
      <c r="AO494">
        <f>IF(Source!BI199&lt;=1,I494,0)</f>
        <v>0</v>
      </c>
      <c r="AP494">
        <f>IF(Source!BI199&lt;=1,0,0)</f>
        <v>0</v>
      </c>
      <c r="AQ494">
        <f>IF(Source!BI199&lt;=1,0,0)</f>
        <v>0</v>
      </c>
      <c r="AX494">
        <f>IF(Source!BI199=2,J491,0)</f>
        <v>13.03</v>
      </c>
      <c r="AY494">
        <f>IF(Source!BI199=2,I494,0)</f>
        <v>13.03</v>
      </c>
      <c r="AZ494">
        <f>IF(Source!BI199=2,0,0)</f>
        <v>0</v>
      </c>
      <c r="BA494">
        <f>IF(Source!BI199=2,0,0)</f>
        <v>0</v>
      </c>
      <c r="BQ494" s="32">
        <f>I494</f>
        <v>13.03</v>
      </c>
      <c r="BS494" s="32">
        <f>K494</f>
        <v>67.08</v>
      </c>
    </row>
    <row r="495" spans="1:56" ht="133.5">
      <c r="A495" s="57">
        <v>37</v>
      </c>
      <c r="B495" s="57" t="str">
        <f>Source!F200</f>
        <v>27-03-004-1</v>
      </c>
      <c r="C495" s="57" t="s">
        <v>845</v>
      </c>
      <c r="D495" s="41" t="str">
        <f>Source!H200</f>
        <v>100 т смеси</v>
      </c>
      <c r="E495" s="37">
        <f>Source!K200</f>
        <v>0.0115</v>
      </c>
      <c r="F495" s="37"/>
      <c r="G495" s="37">
        <f>Source!I200</f>
        <v>0.0115</v>
      </c>
      <c r="H495" s="34"/>
      <c r="I495" s="42"/>
      <c r="J495" s="34"/>
      <c r="K495" s="42"/>
      <c r="L495" s="34"/>
      <c r="AG495">
        <f>Source!X200</f>
        <v>11.55</v>
      </c>
      <c r="AH495">
        <f>Source!HK200</f>
        <v>334.26</v>
      </c>
      <c r="AI495">
        <f>Source!Y200</f>
        <v>7.47</v>
      </c>
      <c r="AJ495">
        <f>Source!HL200</f>
        <v>216.02</v>
      </c>
      <c r="AS495">
        <f>IF(Source!BI200&lt;=1,AH495,0)</f>
        <v>334.26</v>
      </c>
      <c r="AT495">
        <f>IF(Source!BI200&lt;=1,AJ495,0)</f>
        <v>216.02</v>
      </c>
      <c r="BC495">
        <f>IF(Source!BI200=2,AH495,0)</f>
        <v>0</v>
      </c>
      <c r="BD495">
        <f>IF(Source!BI200=2,AJ495,0)</f>
        <v>0</v>
      </c>
    </row>
    <row r="497" ht="12.75">
      <c r="C497" s="31" t="str">
        <f>"Объем: "&amp;Source!K200&amp;"=4,6*"&amp;"0,25/"&amp;"100"</f>
        <v>Объем: 0,0115=4,6*0,25/100</v>
      </c>
    </row>
    <row r="498" spans="1:12" ht="14.25">
      <c r="A498" s="57"/>
      <c r="B498" s="58">
        <v>1</v>
      </c>
      <c r="C498" s="57" t="s">
        <v>771</v>
      </c>
      <c r="D498" s="41"/>
      <c r="E498" s="37"/>
      <c r="F498" s="37"/>
      <c r="G498" s="37"/>
      <c r="H498" s="34">
        <f>Source!AO200</f>
        <v>206.6</v>
      </c>
      <c r="I498" s="42">
        <f>ROUND(1.15*1.2,7)</f>
        <v>1.38</v>
      </c>
      <c r="J498" s="34">
        <f>ROUND(Source!AF200*Source!I200,2)</f>
        <v>3.28</v>
      </c>
      <c r="K498" s="42">
        <f>IF(Source!BA200&lt;&gt;0,Source!BA200,1)</f>
        <v>28.93</v>
      </c>
      <c r="L498" s="34">
        <f>Source!HJ200</f>
        <v>94.89</v>
      </c>
    </row>
    <row r="499" spans="1:12" ht="14.25">
      <c r="A499" s="57"/>
      <c r="B499" s="58">
        <v>3</v>
      </c>
      <c r="C499" s="57" t="s">
        <v>782</v>
      </c>
      <c r="D499" s="41"/>
      <c r="E499" s="37"/>
      <c r="F499" s="37"/>
      <c r="G499" s="37"/>
      <c r="H499" s="34">
        <f>Source!AM200</f>
        <v>3111.18</v>
      </c>
      <c r="I499" s="42">
        <f>ROUND(1.15*1.2,7)</f>
        <v>1.38</v>
      </c>
      <c r="J499" s="34">
        <f>ROUND(Source!AD200*Source!I200,2)</f>
        <v>49.37</v>
      </c>
      <c r="K499" s="42"/>
      <c r="L499" s="34"/>
    </row>
    <row r="500" spans="1:12" ht="14.25">
      <c r="A500" s="57"/>
      <c r="B500" s="58">
        <v>2</v>
      </c>
      <c r="C500" s="57" t="s">
        <v>783</v>
      </c>
      <c r="D500" s="41"/>
      <c r="E500" s="37"/>
      <c r="F500" s="37"/>
      <c r="G500" s="37"/>
      <c r="H500" s="34">
        <f>Source!AN200</f>
        <v>288.75</v>
      </c>
      <c r="I500" s="42">
        <f>ROUND(1.15*1.2,7)</f>
        <v>1.38</v>
      </c>
      <c r="J500" s="47">
        <f>ROUND(Source!AE200*Source!I200,2)</f>
        <v>4.58</v>
      </c>
      <c r="K500" s="42">
        <f>IF(Source!BS200&lt;&gt;0,Source!BS200,1)</f>
        <v>28.93</v>
      </c>
      <c r="L500" s="47">
        <f>Source!HI200</f>
        <v>132.5</v>
      </c>
    </row>
    <row r="501" spans="1:12" ht="14.25">
      <c r="A501" s="57"/>
      <c r="B501" s="58">
        <v>4</v>
      </c>
      <c r="C501" s="57" t="s">
        <v>793</v>
      </c>
      <c r="D501" s="41"/>
      <c r="E501" s="37"/>
      <c r="F501" s="37"/>
      <c r="G501" s="37"/>
      <c r="H501" s="34">
        <f>Source!AL200</f>
        <v>38098.64</v>
      </c>
      <c r="I501" s="42"/>
      <c r="J501" s="34">
        <f>ROUND(Source!AC200*Source!I200,2)</f>
        <v>438.13</v>
      </c>
      <c r="K501" s="42"/>
      <c r="L501" s="34"/>
    </row>
    <row r="502" spans="1:12" ht="14.25">
      <c r="A502" s="57"/>
      <c r="B502" s="57"/>
      <c r="C502" s="57" t="s">
        <v>772</v>
      </c>
      <c r="D502" s="41" t="s">
        <v>773</v>
      </c>
      <c r="E502" s="37">
        <f>Source!AQ200</f>
        <v>21.77</v>
      </c>
      <c r="F502" s="37">
        <f>ROUND(1.15*1.2,7)</f>
        <v>1.38</v>
      </c>
      <c r="G502" s="37">
        <f>ROUND(Source!U200,7)</f>
        <v>0.3454899</v>
      </c>
      <c r="H502" s="34"/>
      <c r="I502" s="42"/>
      <c r="J502" s="34"/>
      <c r="K502" s="42"/>
      <c r="L502" s="34"/>
    </row>
    <row r="503" spans="1:12" ht="14.25">
      <c r="A503" s="57"/>
      <c r="B503" s="57"/>
      <c r="C503" s="59" t="s">
        <v>784</v>
      </c>
      <c r="D503" s="43" t="s">
        <v>773</v>
      </c>
      <c r="E503" s="44">
        <f>Source!AR200</f>
        <v>21.5</v>
      </c>
      <c r="F503" s="44">
        <f>ROUND(1.15*1.2,7)</f>
        <v>1.38</v>
      </c>
      <c r="G503" s="44">
        <f>ROUND(Source!V200,7)</f>
        <v>0.341205</v>
      </c>
      <c r="H503" s="45"/>
      <c r="I503" s="46"/>
      <c r="J503" s="45"/>
      <c r="K503" s="46"/>
      <c r="L503" s="45"/>
    </row>
    <row r="504" spans="1:12" ht="14.25">
      <c r="A504" s="57"/>
      <c r="B504" s="57"/>
      <c r="C504" s="57" t="s">
        <v>774</v>
      </c>
      <c r="D504" s="41"/>
      <c r="E504" s="37"/>
      <c r="F504" s="37"/>
      <c r="G504" s="37"/>
      <c r="H504" s="34">
        <f>H498+H499+H501</f>
        <v>41416.42</v>
      </c>
      <c r="I504" s="42"/>
      <c r="J504" s="34">
        <f>J498+J499+J501</f>
        <v>490.78</v>
      </c>
      <c r="K504" s="42"/>
      <c r="L504" s="34"/>
    </row>
    <row r="505" spans="1:56" ht="57">
      <c r="A505" s="57" t="s">
        <v>319</v>
      </c>
      <c r="B505" s="57" t="str">
        <f>Source!F201</f>
        <v>410-0034</v>
      </c>
      <c r="C505" s="57" t="s">
        <v>846</v>
      </c>
      <c r="D505" s="41" t="str">
        <f>Source!H201</f>
        <v>т</v>
      </c>
      <c r="E505" s="37">
        <f>SmtRes!AT191</f>
        <v>-101</v>
      </c>
      <c r="F505" s="37"/>
      <c r="G505" s="37">
        <f>Source!I201</f>
        <v>-1.1615</v>
      </c>
      <c r="H505" s="34">
        <f>Source!AL201+Source!AO201+Source!AM201</f>
        <v>375.32</v>
      </c>
      <c r="I505" s="42"/>
      <c r="J505" s="34">
        <f>ROUND(Source!AC201*Source!I201,2)+ROUND(Source!AD201*Source!I201,2)+ROUND(Source!AF201*Source!I201,2)</f>
        <v>-435.93</v>
      </c>
      <c r="K505" s="42"/>
      <c r="L505" s="34"/>
      <c r="AF505" s="32">
        <f>J505</f>
        <v>-435.93</v>
      </c>
      <c r="AG505">
        <f>Source!X201</f>
        <v>0</v>
      </c>
      <c r="AH505">
        <f>Source!HK201</f>
        <v>0</v>
      </c>
      <c r="AI505">
        <f>Source!Y201</f>
        <v>0</v>
      </c>
      <c r="AJ505">
        <f>Source!HL201</f>
        <v>0</v>
      </c>
      <c r="AN505">
        <f>IF(Source!BI201&lt;=1,J505,0)</f>
        <v>-435.93</v>
      </c>
      <c r="AO505">
        <f>IF(Source!BI201&lt;=1,J505,0)</f>
        <v>-435.93</v>
      </c>
      <c r="AS505">
        <f>IF(Source!BI201&lt;=1,AH505,0)</f>
        <v>0</v>
      </c>
      <c r="AT505">
        <f>IF(Source!BI201&lt;=1,AJ505,0)</f>
        <v>0</v>
      </c>
      <c r="AX505">
        <f>IF(Source!BI201=2,J505,0)</f>
        <v>0</v>
      </c>
      <c r="AY505">
        <f>IF(Source!BI201=2,J505,0)</f>
        <v>0</v>
      </c>
      <c r="BC505">
        <f>IF(Source!BI201=2,AH505,0)</f>
        <v>0</v>
      </c>
      <c r="BD505">
        <f>IF(Source!BI201=2,AJ505,0)</f>
        <v>0</v>
      </c>
    </row>
    <row r="506" spans="1:12" ht="14.25">
      <c r="A506" s="57"/>
      <c r="B506" s="57"/>
      <c r="C506" s="57" t="s">
        <v>775</v>
      </c>
      <c r="D506" s="41"/>
      <c r="E506" s="37"/>
      <c r="F506" s="37"/>
      <c r="G506" s="37"/>
      <c r="H506" s="34"/>
      <c r="I506" s="42"/>
      <c r="J506" s="34">
        <f>SUM(Q495:Q509)+SUM(V495:V509)+SUM(X495:X509)+SUM(Y495:Y509)</f>
        <v>7.859999999999999</v>
      </c>
      <c r="K506" s="42"/>
      <c r="L506" s="34">
        <f>SUM(U495:U509)+SUM(W495:W509)+SUM(Z495:Z509)+SUM(AA495:AA509)</f>
        <v>227.39</v>
      </c>
    </row>
    <row r="507" spans="1:12" ht="14.25">
      <c r="A507" s="57"/>
      <c r="B507" s="57" t="s">
        <v>259</v>
      </c>
      <c r="C507" s="57" t="s">
        <v>836</v>
      </c>
      <c r="D507" s="41" t="s">
        <v>777</v>
      </c>
      <c r="E507" s="37">
        <f>Source!BZ200</f>
        <v>147</v>
      </c>
      <c r="F507" s="37"/>
      <c r="G507" s="37">
        <f>Source!AT200</f>
        <v>147</v>
      </c>
      <c r="H507" s="34"/>
      <c r="I507" s="42"/>
      <c r="J507" s="34">
        <f>SUM(AG495:AG509)</f>
        <v>11.55</v>
      </c>
      <c r="K507" s="42"/>
      <c r="L507" s="34">
        <f>SUM(AH495:AH509)</f>
        <v>334.26</v>
      </c>
    </row>
    <row r="508" spans="1:12" ht="14.25">
      <c r="A508" s="59"/>
      <c r="B508" s="59" t="s">
        <v>260</v>
      </c>
      <c r="C508" s="59" t="s">
        <v>837</v>
      </c>
      <c r="D508" s="43" t="s">
        <v>777</v>
      </c>
      <c r="E508" s="44">
        <f>Source!CA200</f>
        <v>95</v>
      </c>
      <c r="F508" s="44"/>
      <c r="G508" s="44">
        <f>Source!AU200</f>
        <v>95</v>
      </c>
      <c r="H508" s="45"/>
      <c r="I508" s="46"/>
      <c r="J508" s="45">
        <f>SUM(AI495:AI509)</f>
        <v>7.47</v>
      </c>
      <c r="K508" s="46"/>
      <c r="L508" s="45">
        <f>SUM(AJ495:AJ509)</f>
        <v>216.02</v>
      </c>
    </row>
    <row r="509" spans="3:53" ht="15">
      <c r="C509" s="102" t="s">
        <v>779</v>
      </c>
      <c r="D509" s="102"/>
      <c r="E509" s="102"/>
      <c r="F509" s="102"/>
      <c r="G509" s="102"/>
      <c r="H509" s="102"/>
      <c r="I509" s="102">
        <f>J498+J499+J501+J507+J508+SUM(J505:J505)</f>
        <v>73.87</v>
      </c>
      <c r="J509" s="102"/>
      <c r="O509" s="32">
        <f>I509</f>
        <v>73.87</v>
      </c>
      <c r="P509">
        <f>K509</f>
        <v>0</v>
      </c>
      <c r="Q509" s="32">
        <f>J498</f>
        <v>3.28</v>
      </c>
      <c r="R509" s="32">
        <f>J498</f>
        <v>3.28</v>
      </c>
      <c r="U509" s="32">
        <f>L498</f>
        <v>94.89</v>
      </c>
      <c r="X509" s="32">
        <f>J500</f>
        <v>4.58</v>
      </c>
      <c r="Z509" s="32">
        <f>L500</f>
        <v>132.5</v>
      </c>
      <c r="AB509" s="32">
        <f>J499</f>
        <v>49.37</v>
      </c>
      <c r="AD509" s="32">
        <f>L499</f>
        <v>0</v>
      </c>
      <c r="AF509" s="32">
        <f>J501</f>
        <v>438.13</v>
      </c>
      <c r="AN509">
        <f>IF(Source!BI200&lt;=1,J498+J499+J501+J507+J508,0)</f>
        <v>509.8</v>
      </c>
      <c r="AO509">
        <f>IF(Source!BI200&lt;=1,J501,0)</f>
        <v>438.13</v>
      </c>
      <c r="AP509">
        <f>IF(Source!BI200&lt;=1,J499,0)</f>
        <v>49.37</v>
      </c>
      <c r="AQ509">
        <f>IF(Source!BI200&lt;=1,J498,0)</f>
        <v>3.28</v>
      </c>
      <c r="AX509">
        <f>IF(Source!BI200=2,J498+J499+J501+J507+J508,0)</f>
        <v>0</v>
      </c>
      <c r="AY509">
        <f>IF(Source!BI200=2,J501,0)</f>
        <v>0</v>
      </c>
      <c r="AZ509">
        <f>IF(Source!BI200=2,J499,0)</f>
        <v>0</v>
      </c>
      <c r="BA509">
        <f>IF(Source!BI200=2,J498,0)</f>
        <v>0</v>
      </c>
    </row>
    <row r="510" spans="1:56" ht="147.75">
      <c r="A510" s="57">
        <v>38</v>
      </c>
      <c r="B510" s="57" t="str">
        <f>Source!F202</f>
        <v>27-06-029-1</v>
      </c>
      <c r="C510" s="57" t="s">
        <v>847</v>
      </c>
      <c r="D510" s="41" t="str">
        <f>Source!H202</f>
        <v>1000 м2 покрытия</v>
      </c>
      <c r="E510" s="37">
        <f>Source!K202</f>
        <v>0.0046</v>
      </c>
      <c r="F510" s="37"/>
      <c r="G510" s="37">
        <f>Source!I202</f>
        <v>0.0046</v>
      </c>
      <c r="H510" s="34"/>
      <c r="I510" s="42"/>
      <c r="J510" s="34"/>
      <c r="K510" s="42"/>
      <c r="L510" s="34"/>
      <c r="AG510">
        <f>Source!X202</f>
        <v>3.84</v>
      </c>
      <c r="AH510">
        <f>Source!HK202</f>
        <v>111</v>
      </c>
      <c r="AI510">
        <f>Source!Y202</f>
        <v>3.5</v>
      </c>
      <c r="AJ510">
        <f>Source!HL202</f>
        <v>101.18</v>
      </c>
      <c r="AS510">
        <f>IF(Source!BI202&lt;=1,AH510,0)</f>
        <v>111</v>
      </c>
      <c r="AT510">
        <f>IF(Source!BI202&lt;=1,AJ510,0)</f>
        <v>101.18</v>
      </c>
      <c r="BC510">
        <f>IF(Source!BI202=2,AH510,0)</f>
        <v>0</v>
      </c>
      <c r="BD510">
        <f>IF(Source!BI202=2,AJ510,0)</f>
        <v>0</v>
      </c>
    </row>
    <row r="512" ht="12.75">
      <c r="C512" s="31" t="str">
        <f>"Объем: "&amp;Source!K202&amp;"=4,6/"&amp;"1000"</f>
        <v>Объем: 0,0046=4,6/1000</v>
      </c>
    </row>
    <row r="513" spans="1:12" ht="14.25">
      <c r="A513" s="57"/>
      <c r="B513" s="58">
        <v>1</v>
      </c>
      <c r="C513" s="57" t="s">
        <v>771</v>
      </c>
      <c r="D513" s="41"/>
      <c r="E513" s="37"/>
      <c r="F513" s="37"/>
      <c r="G513" s="37"/>
      <c r="H513" s="34">
        <f>Source!AO202</f>
        <v>177.31</v>
      </c>
      <c r="I513" s="42">
        <f>ROUND(1.15*1.2,7)</f>
        <v>1.38</v>
      </c>
      <c r="J513" s="34">
        <f>ROUND(Source!AF202*Source!I202,2)</f>
        <v>1.13</v>
      </c>
      <c r="K513" s="42">
        <f>IF(Source!BA202&lt;&gt;0,Source!BA202,1)</f>
        <v>28.93</v>
      </c>
      <c r="L513" s="34">
        <f>Source!HJ202</f>
        <v>32.69</v>
      </c>
    </row>
    <row r="514" spans="1:12" ht="14.25">
      <c r="A514" s="57"/>
      <c r="B514" s="58">
        <v>3</v>
      </c>
      <c r="C514" s="57" t="s">
        <v>782</v>
      </c>
      <c r="D514" s="41"/>
      <c r="E514" s="37"/>
      <c r="F514" s="37"/>
      <c r="G514" s="37"/>
      <c r="H514" s="34">
        <f>Source!AM202</f>
        <v>8703.03</v>
      </c>
      <c r="I514" s="42">
        <f>ROUND(1.15*1.2,7)</f>
        <v>1.38</v>
      </c>
      <c r="J514" s="34">
        <f>ROUND(Source!AD202*Source!I202,2)</f>
        <v>55.25</v>
      </c>
      <c r="K514" s="42"/>
      <c r="L514" s="34"/>
    </row>
    <row r="515" spans="1:12" ht="14.25">
      <c r="A515" s="57"/>
      <c r="B515" s="58">
        <v>2</v>
      </c>
      <c r="C515" s="57" t="s">
        <v>783</v>
      </c>
      <c r="D515" s="41"/>
      <c r="E515" s="37"/>
      <c r="F515" s="37"/>
      <c r="G515" s="37"/>
      <c r="H515" s="34">
        <f>Source!AN202</f>
        <v>232.38</v>
      </c>
      <c r="I515" s="42">
        <f>ROUND(1.15*1.2,7)</f>
        <v>1.38</v>
      </c>
      <c r="J515" s="47">
        <f>ROUND(Source!AE202*Source!I202,2)</f>
        <v>1.48</v>
      </c>
      <c r="K515" s="42">
        <f>IF(Source!BS202&lt;&gt;0,Source!BS202,1)</f>
        <v>28.93</v>
      </c>
      <c r="L515" s="47">
        <f>Source!HI202</f>
        <v>42.82</v>
      </c>
    </row>
    <row r="516" spans="1:12" ht="14.25">
      <c r="A516" s="57"/>
      <c r="B516" s="58">
        <v>4</v>
      </c>
      <c r="C516" s="57" t="s">
        <v>793</v>
      </c>
      <c r="D516" s="41"/>
      <c r="E516" s="37"/>
      <c r="F516" s="37"/>
      <c r="G516" s="37"/>
      <c r="H516" s="34">
        <f>Source!AL202</f>
        <v>61616.35</v>
      </c>
      <c r="I516" s="42"/>
      <c r="J516" s="34">
        <f>ROUND(Source!AC202*Source!I202,2)</f>
        <v>283.44</v>
      </c>
      <c r="K516" s="42"/>
      <c r="L516" s="34"/>
    </row>
    <row r="517" spans="1:12" ht="14.25">
      <c r="A517" s="57"/>
      <c r="B517" s="57"/>
      <c r="C517" s="57" t="s">
        <v>772</v>
      </c>
      <c r="D517" s="41" t="s">
        <v>773</v>
      </c>
      <c r="E517" s="37">
        <f>Source!AQ202</f>
        <v>20.86</v>
      </c>
      <c r="F517" s="37">
        <f>ROUND(1.15*1.2,7)</f>
        <v>1.38</v>
      </c>
      <c r="G517" s="37">
        <f>ROUND(Source!U202,7)</f>
        <v>0.1324193</v>
      </c>
      <c r="H517" s="34"/>
      <c r="I517" s="42"/>
      <c r="J517" s="34"/>
      <c r="K517" s="42"/>
      <c r="L517" s="34"/>
    </row>
    <row r="518" spans="1:12" ht="14.25">
      <c r="A518" s="57"/>
      <c r="B518" s="57"/>
      <c r="C518" s="59" t="s">
        <v>784</v>
      </c>
      <c r="D518" s="43" t="s">
        <v>773</v>
      </c>
      <c r="E518" s="44">
        <f>Source!AR202</f>
        <v>18.85</v>
      </c>
      <c r="F518" s="44">
        <f>ROUND(1.15*1.2,7)</f>
        <v>1.38</v>
      </c>
      <c r="G518" s="44">
        <f>ROUND(Source!V202,7)</f>
        <v>0.1196598</v>
      </c>
      <c r="H518" s="45"/>
      <c r="I518" s="46"/>
      <c r="J518" s="45"/>
      <c r="K518" s="46"/>
      <c r="L518" s="45"/>
    </row>
    <row r="519" spans="1:12" ht="14.25">
      <c r="A519" s="57"/>
      <c r="B519" s="57"/>
      <c r="C519" s="57" t="s">
        <v>774</v>
      </c>
      <c r="D519" s="41"/>
      <c r="E519" s="37"/>
      <c r="F519" s="37"/>
      <c r="G519" s="37"/>
      <c r="H519" s="34">
        <f>H513+H514+H516</f>
        <v>70496.69</v>
      </c>
      <c r="I519" s="42"/>
      <c r="J519" s="34">
        <f>J513+J514+J516</f>
        <v>339.82</v>
      </c>
      <c r="K519" s="42"/>
      <c r="L519" s="34"/>
    </row>
    <row r="520" spans="1:56" ht="99.75">
      <c r="A520" s="57" t="s">
        <v>329</v>
      </c>
      <c r="B520" s="57" t="str">
        <f>Source!F203</f>
        <v>410-0001</v>
      </c>
      <c r="C520" s="57" t="s">
        <v>848</v>
      </c>
      <c r="D520" s="41" t="str">
        <f>Source!H203</f>
        <v>т</v>
      </c>
      <c r="E520" s="37">
        <f>SmtRes!AT214</f>
        <v>-105.26</v>
      </c>
      <c r="F520" s="37"/>
      <c r="G520" s="37">
        <f>Source!I203</f>
        <v>-0.484196</v>
      </c>
      <c r="H520" s="34">
        <f>Source!AL203+Source!AO203+Source!AM203</f>
        <v>514.93</v>
      </c>
      <c r="I520" s="42"/>
      <c r="J520" s="34">
        <f>ROUND(Source!AC203*Source!I203,2)+ROUND(Source!AD203*Source!I203,2)+ROUND(Source!AF203*Source!I203,2)</f>
        <v>-249.33</v>
      </c>
      <c r="K520" s="42"/>
      <c r="L520" s="34"/>
      <c r="AF520" s="32">
        <f>J520</f>
        <v>-249.33</v>
      </c>
      <c r="AG520">
        <f>Source!X203</f>
        <v>0</v>
      </c>
      <c r="AH520">
        <f>Source!HK203</f>
        <v>0</v>
      </c>
      <c r="AI520">
        <f>Source!Y203</f>
        <v>0</v>
      </c>
      <c r="AJ520">
        <f>Source!HL203</f>
        <v>0</v>
      </c>
      <c r="AN520">
        <f>IF(Source!BI203&lt;=1,J520,0)</f>
        <v>-249.33</v>
      </c>
      <c r="AO520">
        <f>IF(Source!BI203&lt;=1,J520,0)</f>
        <v>-249.33</v>
      </c>
      <c r="AS520">
        <f>IF(Source!BI203&lt;=1,AH520,0)</f>
        <v>0</v>
      </c>
      <c r="AT520">
        <f>IF(Source!BI203&lt;=1,AJ520,0)</f>
        <v>0</v>
      </c>
      <c r="AX520">
        <f>IF(Source!BI203=2,J520,0)</f>
        <v>0</v>
      </c>
      <c r="AY520">
        <f>IF(Source!BI203=2,J520,0)</f>
        <v>0</v>
      </c>
      <c r="BC520">
        <f>IF(Source!BI203=2,AH520,0)</f>
        <v>0</v>
      </c>
      <c r="BD520">
        <f>IF(Source!BI203=2,AJ520,0)</f>
        <v>0</v>
      </c>
    </row>
    <row r="521" spans="1:12" ht="14.25">
      <c r="A521" s="57"/>
      <c r="B521" s="57"/>
      <c r="C521" s="57" t="s">
        <v>775</v>
      </c>
      <c r="D521" s="41"/>
      <c r="E521" s="37"/>
      <c r="F521" s="37"/>
      <c r="G521" s="37"/>
      <c r="H521" s="34"/>
      <c r="I521" s="42"/>
      <c r="J521" s="34">
        <f>SUM(Q510:Q524)+SUM(V510:V524)+SUM(X510:X524)+SUM(Y510:Y524)</f>
        <v>2.61</v>
      </c>
      <c r="K521" s="42"/>
      <c r="L521" s="34">
        <f>SUM(U510:U524)+SUM(W510:W524)+SUM(Z510:Z524)+SUM(AA510:AA524)</f>
        <v>75.50999999999999</v>
      </c>
    </row>
    <row r="522" spans="1:12" ht="14.25">
      <c r="A522" s="57"/>
      <c r="B522" s="57" t="s">
        <v>259</v>
      </c>
      <c r="C522" s="57" t="s">
        <v>836</v>
      </c>
      <c r="D522" s="41" t="s">
        <v>777</v>
      </c>
      <c r="E522" s="37">
        <f>Source!BZ202</f>
        <v>147</v>
      </c>
      <c r="F522" s="37"/>
      <c r="G522" s="37">
        <f>Source!AT202</f>
        <v>147</v>
      </c>
      <c r="H522" s="34"/>
      <c r="I522" s="42"/>
      <c r="J522" s="34">
        <f>SUM(AG510:AG524)</f>
        <v>3.84</v>
      </c>
      <c r="K522" s="42"/>
      <c r="L522" s="34">
        <f>SUM(AH510:AH524)</f>
        <v>111</v>
      </c>
    </row>
    <row r="523" spans="1:12" ht="14.25">
      <c r="A523" s="59"/>
      <c r="B523" s="59" t="s">
        <v>260</v>
      </c>
      <c r="C523" s="59" t="s">
        <v>837</v>
      </c>
      <c r="D523" s="43" t="s">
        <v>777</v>
      </c>
      <c r="E523" s="44">
        <f>Source!CA202</f>
        <v>134</v>
      </c>
      <c r="F523" s="44"/>
      <c r="G523" s="44">
        <f>Source!AU202</f>
        <v>134</v>
      </c>
      <c r="H523" s="45"/>
      <c r="I523" s="46"/>
      <c r="J523" s="45">
        <f>SUM(AI510:AI524)</f>
        <v>3.5</v>
      </c>
      <c r="K523" s="46"/>
      <c r="L523" s="45">
        <f>SUM(AJ510:AJ524)</f>
        <v>101.18</v>
      </c>
    </row>
    <row r="524" spans="3:53" ht="15">
      <c r="C524" s="102" t="s">
        <v>779</v>
      </c>
      <c r="D524" s="102"/>
      <c r="E524" s="102"/>
      <c r="F524" s="102"/>
      <c r="G524" s="102"/>
      <c r="H524" s="102"/>
      <c r="I524" s="102">
        <f>J513+J514+J516+J522+J523+SUM(J520:J520)</f>
        <v>97.82999999999996</v>
      </c>
      <c r="J524" s="102"/>
      <c r="O524" s="32">
        <f>I524</f>
        <v>97.82999999999996</v>
      </c>
      <c r="P524">
        <f>K524</f>
        <v>0</v>
      </c>
      <c r="Q524" s="32">
        <f>J513</f>
        <v>1.13</v>
      </c>
      <c r="R524" s="32">
        <f>J513</f>
        <v>1.13</v>
      </c>
      <c r="U524" s="32">
        <f>L513</f>
        <v>32.69</v>
      </c>
      <c r="X524" s="32">
        <f>J515</f>
        <v>1.48</v>
      </c>
      <c r="Z524" s="32">
        <f>L515</f>
        <v>42.82</v>
      </c>
      <c r="AB524" s="32">
        <f>J514</f>
        <v>55.25</v>
      </c>
      <c r="AD524" s="32">
        <f>L514</f>
        <v>0</v>
      </c>
      <c r="AF524" s="32">
        <f>J516</f>
        <v>283.44</v>
      </c>
      <c r="AN524">
        <f>IF(Source!BI202&lt;=1,J513+J514+J516+J522+J523,0)</f>
        <v>347.15999999999997</v>
      </c>
      <c r="AO524">
        <f>IF(Source!BI202&lt;=1,J516,0)</f>
        <v>283.44</v>
      </c>
      <c r="AP524">
        <f>IF(Source!BI202&lt;=1,J514,0)</f>
        <v>55.25</v>
      </c>
      <c r="AQ524">
        <f>IF(Source!BI202&lt;=1,J513,0)</f>
        <v>1.13</v>
      </c>
      <c r="AX524">
        <f>IF(Source!BI202=2,J513+J514+J516+J522+J523,0)</f>
        <v>0</v>
      </c>
      <c r="AY524">
        <f>IF(Source!BI202=2,J516,0)</f>
        <v>0</v>
      </c>
      <c r="AZ524">
        <f>IF(Source!BI202=2,J514,0)</f>
        <v>0</v>
      </c>
      <c r="BA524">
        <f>IF(Source!BI202=2,J513,0)</f>
        <v>0</v>
      </c>
    </row>
    <row r="525" spans="1:56" ht="28.5">
      <c r="A525" s="57">
        <v>39</v>
      </c>
      <c r="B525" s="57" t="str">
        <f>Source!F204</f>
        <v>прайс-лист</v>
      </c>
      <c r="C525" s="57" t="str">
        <f>Source!G204</f>
        <v>Асфальтобетонная смесь тип Б марка II</v>
      </c>
      <c r="D525" s="41" t="str">
        <f>Source!H204</f>
        <v>ТН</v>
      </c>
      <c r="E525" s="37">
        <f>Source!K204</f>
        <v>1.645696</v>
      </c>
      <c r="F525" s="37"/>
      <c r="G525" s="37">
        <f>Source!I204</f>
        <v>1.645696</v>
      </c>
      <c r="H525" s="34">
        <f>Source!AL204</f>
        <v>8446</v>
      </c>
      <c r="I525" s="42"/>
      <c r="J525" s="34">
        <f>Source!P204</f>
        <v>2698.94</v>
      </c>
      <c r="K525" s="42">
        <f>IF(Source!BC204&lt;&gt;0,Source!BC204,1)</f>
        <v>5.15</v>
      </c>
      <c r="L525" s="34">
        <f>Source!HG204</f>
        <v>13899.55</v>
      </c>
      <c r="AG525">
        <f>Source!X204</f>
        <v>0</v>
      </c>
      <c r="AH525">
        <f>Source!HK204</f>
        <v>0</v>
      </c>
      <c r="AI525">
        <f>Source!Y204</f>
        <v>0</v>
      </c>
      <c r="AJ525">
        <f>Source!HL204</f>
        <v>0</v>
      </c>
      <c r="AS525">
        <f>IF(Source!BI204&lt;=1,AH525,0)</f>
        <v>0</v>
      </c>
      <c r="AT525">
        <f>IF(Source!BI204&lt;=1,AJ525,0)</f>
        <v>0</v>
      </c>
      <c r="BC525">
        <f>IF(Source!BI204=2,AH525,0)</f>
        <v>0</v>
      </c>
      <c r="BD525">
        <f>IF(Source!BI204=2,AJ525,0)</f>
        <v>0</v>
      </c>
    </row>
    <row r="527" spans="1:12" ht="12.75">
      <c r="A527" s="35"/>
      <c r="B527" s="35"/>
      <c r="C527" s="36" t="str">
        <f>"Объем: "&amp;Source!K204&amp;"=1,1615+"&amp;"0,484196"</f>
        <v>Объем: 1,645696=1,1615+0,484196</v>
      </c>
      <c r="D527" s="35"/>
      <c r="E527" s="35"/>
      <c r="F527" s="35"/>
      <c r="G527" s="35"/>
      <c r="H527" s="35"/>
      <c r="I527" s="35"/>
      <c r="J527" s="35"/>
      <c r="K527" s="35"/>
      <c r="L527" s="35"/>
    </row>
    <row r="528" spans="3:71" ht="15">
      <c r="C528" s="102" t="s">
        <v>779</v>
      </c>
      <c r="D528" s="102"/>
      <c r="E528" s="102"/>
      <c r="F528" s="102"/>
      <c r="G528" s="102"/>
      <c r="H528" s="102"/>
      <c r="I528" s="102">
        <f>J525</f>
        <v>2698.94</v>
      </c>
      <c r="J528" s="102"/>
      <c r="K528" s="102">
        <f>L525</f>
        <v>13899.55</v>
      </c>
      <c r="L528" s="102"/>
      <c r="O528" s="32">
        <f>I528</f>
        <v>2698.94</v>
      </c>
      <c r="P528" s="32">
        <f>K528</f>
        <v>13899.55</v>
      </c>
      <c r="Q528">
        <f>0</f>
        <v>0</v>
      </c>
      <c r="R528">
        <f>0</f>
        <v>0</v>
      </c>
      <c r="U528">
        <f>0</f>
        <v>0</v>
      </c>
      <c r="X528">
        <f>0</f>
        <v>0</v>
      </c>
      <c r="Z528">
        <f>0</f>
        <v>0</v>
      </c>
      <c r="AB528">
        <f>0</f>
        <v>0</v>
      </c>
      <c r="AD528">
        <f>0</f>
        <v>0</v>
      </c>
      <c r="AF528" s="32">
        <f>I528</f>
        <v>2698.94</v>
      </c>
      <c r="AN528">
        <f>IF(Source!BI204&lt;=1,J525,0)</f>
        <v>0</v>
      </c>
      <c r="AO528">
        <f>IF(Source!BI204&lt;=1,I528,0)</f>
        <v>0</v>
      </c>
      <c r="AP528">
        <f>IF(Source!BI204&lt;=1,0,0)</f>
        <v>0</v>
      </c>
      <c r="AQ528">
        <f>IF(Source!BI204&lt;=1,0,0)</f>
        <v>0</v>
      </c>
      <c r="AX528">
        <f>IF(Source!BI204=2,J525,0)</f>
        <v>2698.94</v>
      </c>
      <c r="AY528">
        <f>IF(Source!BI204=2,I528,0)</f>
        <v>2698.94</v>
      </c>
      <c r="AZ528">
        <f>IF(Source!BI204=2,0,0)</f>
        <v>0</v>
      </c>
      <c r="BA528">
        <f>IF(Source!BI204=2,0,0)</f>
        <v>0</v>
      </c>
      <c r="BQ528" s="32">
        <f>I528</f>
        <v>2698.94</v>
      </c>
      <c r="BS528" s="32">
        <f>K528</f>
        <v>13899.55</v>
      </c>
    </row>
    <row r="530" spans="1:95" ht="15">
      <c r="A530" s="48"/>
      <c r="B530" s="49"/>
      <c r="C530" s="101" t="s">
        <v>800</v>
      </c>
      <c r="D530" s="101"/>
      <c r="E530" s="101"/>
      <c r="F530" s="101"/>
      <c r="G530" s="101"/>
      <c r="H530" s="101"/>
      <c r="I530" s="51"/>
      <c r="J530" s="52">
        <f>J532+J533+J534+J535</f>
        <v>3597.94</v>
      </c>
      <c r="K530" s="52"/>
      <c r="L530" s="52"/>
      <c r="CQ530" s="50" t="s">
        <v>800</v>
      </c>
    </row>
    <row r="531" spans="1:12" ht="14.25">
      <c r="A531" s="53"/>
      <c r="B531" s="54"/>
      <c r="C531" s="105" t="s">
        <v>801</v>
      </c>
      <c r="D531" s="104"/>
      <c r="E531" s="104"/>
      <c r="F531" s="104"/>
      <c r="G531" s="104"/>
      <c r="H531" s="104"/>
      <c r="I531" s="55"/>
      <c r="J531" s="56"/>
      <c r="K531" s="56"/>
      <c r="L531" s="56"/>
    </row>
    <row r="532" spans="1:12" ht="14.25">
      <c r="A532" s="53"/>
      <c r="B532" s="54"/>
      <c r="C532" s="104" t="s">
        <v>802</v>
      </c>
      <c r="D532" s="104"/>
      <c r="E532" s="104"/>
      <c r="F532" s="104"/>
      <c r="G532" s="104"/>
      <c r="H532" s="104"/>
      <c r="I532" s="55"/>
      <c r="J532" s="56">
        <f>SUM(Q406:Q528)</f>
        <v>15.119999999999997</v>
      </c>
      <c r="K532" s="56"/>
      <c r="L532" s="56"/>
    </row>
    <row r="533" spans="1:12" ht="14.25">
      <c r="A533" s="53"/>
      <c r="B533" s="54"/>
      <c r="C533" s="104" t="s">
        <v>803</v>
      </c>
      <c r="D533" s="104"/>
      <c r="E533" s="104"/>
      <c r="F533" s="104"/>
      <c r="G533" s="104"/>
      <c r="H533" s="104"/>
      <c r="I533" s="55"/>
      <c r="J533" s="56">
        <f>SUM(AB406:AB528)</f>
        <v>172.45000000000002</v>
      </c>
      <c r="K533" s="56"/>
      <c r="L533" s="56"/>
    </row>
    <row r="534" spans="1:12" ht="14.25">
      <c r="A534" s="53"/>
      <c r="B534" s="54"/>
      <c r="C534" s="104" t="s">
        <v>804</v>
      </c>
      <c r="D534" s="104"/>
      <c r="E534" s="104"/>
      <c r="F534" s="104"/>
      <c r="G534" s="104"/>
      <c r="H534" s="104"/>
      <c r="I534" s="55"/>
      <c r="J534" s="56">
        <f>Source!F209-J539</f>
        <v>3314.39</v>
      </c>
      <c r="K534" s="56"/>
      <c r="L534" s="56"/>
    </row>
    <row r="535" spans="1:12" ht="14.25">
      <c r="A535" s="53"/>
      <c r="B535" s="54"/>
      <c r="C535" s="104" t="s">
        <v>805</v>
      </c>
      <c r="D535" s="104"/>
      <c r="E535" s="104"/>
      <c r="F535" s="104"/>
      <c r="G535" s="104"/>
      <c r="H535" s="104"/>
      <c r="I535" s="55"/>
      <c r="J535" s="56">
        <f>Source!F231</f>
        <v>95.98</v>
      </c>
      <c r="K535" s="56"/>
      <c r="L535" s="56"/>
    </row>
    <row r="536" spans="1:12" ht="14.25">
      <c r="A536" s="53"/>
      <c r="B536" s="54"/>
      <c r="C536" s="104" t="s">
        <v>806</v>
      </c>
      <c r="D536" s="104"/>
      <c r="E536" s="104"/>
      <c r="F536" s="104"/>
      <c r="G536" s="104"/>
      <c r="H536" s="104"/>
      <c r="I536" s="55"/>
      <c r="J536" s="56">
        <f>SUM(Q406:Q528)+SUM(X406:X528)</f>
        <v>27.93</v>
      </c>
      <c r="K536" s="56"/>
      <c r="L536" s="56"/>
    </row>
    <row r="537" spans="1:12" ht="14.25">
      <c r="A537" s="53"/>
      <c r="B537" s="54"/>
      <c r="C537" s="104" t="s">
        <v>807</v>
      </c>
      <c r="D537" s="104"/>
      <c r="E537" s="104"/>
      <c r="F537" s="104"/>
      <c r="G537" s="104"/>
      <c r="H537" s="104"/>
      <c r="I537" s="55"/>
      <c r="J537" s="56">
        <f>Source!F232</f>
        <v>41.06</v>
      </c>
      <c r="K537" s="56"/>
      <c r="L537" s="56"/>
    </row>
    <row r="538" spans="1:12" ht="14.25">
      <c r="A538" s="53"/>
      <c r="B538" s="54"/>
      <c r="C538" s="104" t="s">
        <v>808</v>
      </c>
      <c r="D538" s="104"/>
      <c r="E538" s="104"/>
      <c r="F538" s="104"/>
      <c r="G538" s="104"/>
      <c r="H538" s="104"/>
      <c r="I538" s="55"/>
      <c r="J538" s="56">
        <f>Source!F233</f>
        <v>32.14</v>
      </c>
      <c r="K538" s="56"/>
      <c r="L538" s="56"/>
    </row>
    <row r="539" spans="1:12" ht="14.25" customHeight="1" hidden="1">
      <c r="A539" s="53"/>
      <c r="B539" s="54"/>
      <c r="C539" s="104" t="s">
        <v>809</v>
      </c>
      <c r="D539" s="104"/>
      <c r="E539" s="104"/>
      <c r="F539" s="104"/>
      <c r="G539" s="104"/>
      <c r="H539" s="104"/>
      <c r="I539" s="55"/>
      <c r="J539" s="56">
        <f>Source!F215</f>
        <v>0</v>
      </c>
      <c r="K539" s="56"/>
      <c r="L539" s="56"/>
    </row>
    <row r="540" spans="1:12" ht="14.25" customHeight="1" hidden="1">
      <c r="A540" s="53"/>
      <c r="B540" s="54"/>
      <c r="C540" s="104" t="s">
        <v>810</v>
      </c>
      <c r="D540" s="104"/>
      <c r="E540" s="104"/>
      <c r="F540" s="104"/>
      <c r="G540" s="104"/>
      <c r="H540" s="104"/>
      <c r="I540" s="55"/>
      <c r="J540" s="56">
        <f>Source!F225</f>
        <v>0</v>
      </c>
      <c r="K540" s="56"/>
      <c r="L540" s="56"/>
    </row>
    <row r="541" spans="1:12" ht="15">
      <c r="A541" s="48"/>
      <c r="B541" s="49"/>
      <c r="C541" s="101" t="s">
        <v>811</v>
      </c>
      <c r="D541" s="101"/>
      <c r="E541" s="101"/>
      <c r="F541" s="101"/>
      <c r="G541" s="101"/>
      <c r="H541" s="101"/>
      <c r="I541" s="51"/>
      <c r="J541" s="52">
        <f>Source!F234</f>
        <v>3671.14</v>
      </c>
      <c r="K541" s="52"/>
      <c r="L541" s="52"/>
    </row>
    <row r="542" spans="1:12" ht="14.25">
      <c r="A542" s="53"/>
      <c r="B542" s="54"/>
      <c r="C542" s="105" t="s">
        <v>801</v>
      </c>
      <c r="D542" s="104"/>
      <c r="E542" s="104"/>
      <c r="F542" s="104"/>
      <c r="G542" s="104"/>
      <c r="H542" s="104"/>
      <c r="I542" s="55"/>
      <c r="J542" s="56"/>
      <c r="K542" s="56"/>
      <c r="L542" s="56"/>
    </row>
    <row r="543" spans="1:12" ht="14.25">
      <c r="A543" s="53"/>
      <c r="B543" s="54"/>
      <c r="C543" s="104" t="s">
        <v>812</v>
      </c>
      <c r="D543" s="104"/>
      <c r="E543" s="104"/>
      <c r="F543" s="104"/>
      <c r="G543" s="104"/>
      <c r="H543" s="104"/>
      <c r="I543" s="55"/>
      <c r="J543" s="56"/>
      <c r="K543" s="56"/>
      <c r="L543" s="56">
        <f>SUM(BS406:BS528)</f>
        <v>16848.399999999998</v>
      </c>
    </row>
    <row r="544" spans="1:12" ht="14.25" customHeight="1" hidden="1">
      <c r="A544" s="53"/>
      <c r="B544" s="54"/>
      <c r="C544" s="104" t="s">
        <v>813</v>
      </c>
      <c r="D544" s="104"/>
      <c r="E544" s="104"/>
      <c r="F544" s="104"/>
      <c r="G544" s="104"/>
      <c r="H544" s="104"/>
      <c r="I544" s="55"/>
      <c r="J544" s="56"/>
      <c r="K544" s="56"/>
      <c r="L544" s="56">
        <f>SUM(BT406:BT528)</f>
        <v>0</v>
      </c>
    </row>
    <row r="545" spans="3:10" ht="14.25">
      <c r="C545" s="103" t="str">
        <f>Source!H235</f>
        <v>Итого прямые затраты</v>
      </c>
      <c r="D545" s="103"/>
      <c r="E545" s="103"/>
      <c r="F545" s="103"/>
      <c r="G545" s="103"/>
      <c r="H545" s="103"/>
      <c r="I545" s="103"/>
      <c r="J545" s="33">
        <f>IF(Source!W235=0,"",Source!W235)</f>
        <v>3598</v>
      </c>
    </row>
    <row r="546" spans="3:10" ht="14.25">
      <c r="C546" s="103" t="str">
        <f>Source!H236</f>
        <v>Накладные расходы</v>
      </c>
      <c r="D546" s="103"/>
      <c r="E546" s="103"/>
      <c r="F546" s="103"/>
      <c r="G546" s="103"/>
      <c r="H546" s="103"/>
      <c r="I546" s="103"/>
      <c r="J546" s="33">
        <f>IF(Source!W236=0,"",Source!W236)</f>
        <v>41</v>
      </c>
    </row>
    <row r="547" spans="3:10" ht="14.25">
      <c r="C547" s="103" t="str">
        <f>Source!H237</f>
        <v>Сметная прибыль</v>
      </c>
      <c r="D547" s="103"/>
      <c r="E547" s="103"/>
      <c r="F547" s="103"/>
      <c r="G547" s="103"/>
      <c r="H547" s="103"/>
      <c r="I547" s="103"/>
      <c r="J547" s="33">
        <f>IF(Source!W237=0,"",Source!W237)</f>
        <v>32</v>
      </c>
    </row>
    <row r="548" spans="3:10" ht="14.25">
      <c r="C548" s="103" t="str">
        <f>Source!H238</f>
        <v>Итого</v>
      </c>
      <c r="D548" s="103"/>
      <c r="E548" s="103"/>
      <c r="F548" s="103"/>
      <c r="G548" s="103"/>
      <c r="H548" s="103"/>
      <c r="I548" s="103"/>
      <c r="J548" s="34">
        <f>IF(Source!W238=0,"",Source!W238)</f>
        <v>3671</v>
      </c>
    </row>
    <row r="549" spans="3:10" ht="14.25">
      <c r="C549" s="103" t="str">
        <f>Source!H239</f>
        <v>В том числе общестроительные работы</v>
      </c>
      <c r="D549" s="103"/>
      <c r="E549" s="103"/>
      <c r="F549" s="103"/>
      <c r="G549" s="103"/>
      <c r="H549" s="103"/>
      <c r="I549" s="103"/>
      <c r="J549" s="34">
        <f>IF(Source!W239=0,"",Source!W239)</f>
        <v>399.6</v>
      </c>
    </row>
    <row r="550" spans="3:10" ht="14.25">
      <c r="C550" s="103" t="str">
        <f>Source!H240</f>
        <v>В том числе монтажные работы</v>
      </c>
      <c r="D550" s="103"/>
      <c r="E550" s="103"/>
      <c r="F550" s="103"/>
      <c r="G550" s="103"/>
      <c r="H550" s="103"/>
      <c r="I550" s="103"/>
      <c r="J550" s="34">
        <f>IF(Source!W240=0,"",Source!W240)</f>
        <v>3271.54</v>
      </c>
    </row>
    <row r="552" spans="1:12" ht="16.5">
      <c r="A552" s="106" t="s">
        <v>849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1:56" ht="39.75">
      <c r="A553" s="57">
        <v>40</v>
      </c>
      <c r="B553" s="57" t="str">
        <f>Source!F249</f>
        <v>Прайс-лист</v>
      </c>
      <c r="C553" s="57" t="s">
        <v>850</v>
      </c>
      <c r="D553" s="41" t="str">
        <f>Source!H249</f>
        <v>м</v>
      </c>
      <c r="E553" s="37">
        <f>Source!K249</f>
        <v>200</v>
      </c>
      <c r="F553" s="37"/>
      <c r="G553" s="37">
        <f>Source!I249</f>
        <v>200</v>
      </c>
      <c r="H553" s="34">
        <f>Source!AL249</f>
        <v>777.68</v>
      </c>
      <c r="I553" s="42"/>
      <c r="J553" s="34">
        <f>Source!P249</f>
        <v>30201.17</v>
      </c>
      <c r="K553" s="42">
        <f>IF(Source!BC249&lt;&gt;0,Source!BC249,1)</f>
        <v>5.15</v>
      </c>
      <c r="L553" s="34">
        <f>Source!HG249</f>
        <v>155536</v>
      </c>
      <c r="AG553">
        <f>Source!X249</f>
        <v>0</v>
      </c>
      <c r="AH553">
        <f>Source!HK249</f>
        <v>0</v>
      </c>
      <c r="AI553">
        <f>Source!Y249</f>
        <v>0</v>
      </c>
      <c r="AJ553">
        <f>Source!HL249</f>
        <v>0</v>
      </c>
      <c r="AS553">
        <f>IF(Source!BI249&lt;=1,AH553,0)</f>
        <v>0</v>
      </c>
      <c r="AT553">
        <f>IF(Source!BI249&lt;=1,AJ553,0)</f>
        <v>0</v>
      </c>
      <c r="BC553">
        <f>IF(Source!BI249=2,AH553,0)</f>
        <v>0</v>
      </c>
      <c r="BD553">
        <f>IF(Source!BI249=2,AJ553,0)</f>
        <v>0</v>
      </c>
    </row>
    <row r="554" spans="1:12" ht="12.7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</row>
    <row r="555" spans="3:71" ht="15">
      <c r="C555" s="102" t="s">
        <v>779</v>
      </c>
      <c r="D555" s="102"/>
      <c r="E555" s="102"/>
      <c r="F555" s="102"/>
      <c r="G555" s="102"/>
      <c r="H555" s="102"/>
      <c r="I555" s="102">
        <f>J553</f>
        <v>30201.17</v>
      </c>
      <c r="J555" s="102"/>
      <c r="K555" s="102">
        <f>L553</f>
        <v>155536</v>
      </c>
      <c r="L555" s="102"/>
      <c r="O555" s="32">
        <f>I555</f>
        <v>30201.17</v>
      </c>
      <c r="P555" s="32">
        <f>K555</f>
        <v>155536</v>
      </c>
      <c r="Q555">
        <f>0</f>
        <v>0</v>
      </c>
      <c r="R555">
        <f>0</f>
        <v>0</v>
      </c>
      <c r="U555">
        <f>0</f>
        <v>0</v>
      </c>
      <c r="X555">
        <f>0</f>
        <v>0</v>
      </c>
      <c r="Z555">
        <f>0</f>
        <v>0</v>
      </c>
      <c r="AB555">
        <f>0</f>
        <v>0</v>
      </c>
      <c r="AD555">
        <f>0</f>
        <v>0</v>
      </c>
      <c r="AF555" s="32">
        <f>I555</f>
        <v>30201.17</v>
      </c>
      <c r="AN555">
        <f>IF(Source!BI249&lt;=1,J553,0)</f>
        <v>0</v>
      </c>
      <c r="AO555">
        <f>IF(Source!BI249&lt;=1,I555,0)</f>
        <v>0</v>
      </c>
      <c r="AP555">
        <f>IF(Source!BI249&lt;=1,0,0)</f>
        <v>0</v>
      </c>
      <c r="AQ555">
        <f>IF(Source!BI249&lt;=1,0,0)</f>
        <v>0</v>
      </c>
      <c r="AX555">
        <f>IF(Source!BI249=2,J553,0)</f>
        <v>30201.17</v>
      </c>
      <c r="AY555">
        <f>IF(Source!BI249=2,I555,0)</f>
        <v>30201.17</v>
      </c>
      <c r="AZ555">
        <f>IF(Source!BI249=2,0,0)</f>
        <v>0</v>
      </c>
      <c r="BA555">
        <f>IF(Source!BI249=2,0,0)</f>
        <v>0</v>
      </c>
      <c r="BQ555" s="32">
        <f>I555</f>
        <v>30201.17</v>
      </c>
      <c r="BS555" s="32">
        <f>K555</f>
        <v>155536</v>
      </c>
    </row>
    <row r="556" spans="1:56" ht="28.5">
      <c r="A556" s="57">
        <v>41</v>
      </c>
      <c r="B556" s="57" t="str">
        <f>Source!F250</f>
        <v>408-0122</v>
      </c>
      <c r="C556" s="57" t="str">
        <f>Source!G250</f>
        <v>Песок природный для строительных работ средний</v>
      </c>
      <c r="D556" s="41" t="str">
        <f>Source!H250</f>
        <v>м3</v>
      </c>
      <c r="E556" s="37">
        <f>Source!K250</f>
        <v>6.66</v>
      </c>
      <c r="F556" s="37"/>
      <c r="G556" s="37">
        <f>Source!I250</f>
        <v>6.66</v>
      </c>
      <c r="H556" s="34">
        <f>Source!AL250</f>
        <v>107.3</v>
      </c>
      <c r="I556" s="42"/>
      <c r="J556" s="34">
        <f>ROUND(Source!AC250*Source!I250,2)</f>
        <v>714.62</v>
      </c>
      <c r="K556" s="42"/>
      <c r="L556" s="34"/>
      <c r="AG556">
        <f>Source!X250</f>
        <v>0</v>
      </c>
      <c r="AH556">
        <f>Source!HK250</f>
        <v>0</v>
      </c>
      <c r="AI556">
        <f>Source!Y250</f>
        <v>0</v>
      </c>
      <c r="AJ556">
        <f>Source!HL250</f>
        <v>0</v>
      </c>
      <c r="AS556">
        <f>IF(Source!BI250&lt;=1,AH556,0)</f>
        <v>0</v>
      </c>
      <c r="AT556">
        <f>IF(Source!BI250&lt;=1,AJ556,0)</f>
        <v>0</v>
      </c>
      <c r="BC556">
        <f>IF(Source!BI250=2,AH556,0)</f>
        <v>0</v>
      </c>
      <c r="BD556">
        <f>IF(Source!BI250=2,AJ556,0)</f>
        <v>0</v>
      </c>
    </row>
    <row r="557" spans="1:12" ht="12.7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</row>
    <row r="558" spans="3:53" ht="15">
      <c r="C558" s="102" t="s">
        <v>779</v>
      </c>
      <c r="D558" s="102"/>
      <c r="E558" s="102"/>
      <c r="F558" s="102"/>
      <c r="G558" s="102"/>
      <c r="H558" s="102"/>
      <c r="I558" s="102">
        <f>J556</f>
        <v>714.62</v>
      </c>
      <c r="J558" s="102"/>
      <c r="O558" s="32">
        <f>I558</f>
        <v>714.62</v>
      </c>
      <c r="P558">
        <f>K558</f>
        <v>0</v>
      </c>
      <c r="Q558">
        <f>0</f>
        <v>0</v>
      </c>
      <c r="R558">
        <f>0</f>
        <v>0</v>
      </c>
      <c r="U558">
        <f>0</f>
        <v>0</v>
      </c>
      <c r="X558">
        <f>0</f>
        <v>0</v>
      </c>
      <c r="Z558">
        <f>0</f>
        <v>0</v>
      </c>
      <c r="AB558">
        <f>0</f>
        <v>0</v>
      </c>
      <c r="AD558">
        <f>0</f>
        <v>0</v>
      </c>
      <c r="AF558" s="32">
        <f>I558</f>
        <v>714.62</v>
      </c>
      <c r="AN558">
        <f>IF(Source!BI250&lt;=1,J556,0)</f>
        <v>714.62</v>
      </c>
      <c r="AO558">
        <f>IF(Source!BI250&lt;=1,I558,0)</f>
        <v>714.62</v>
      </c>
      <c r="AP558">
        <f>IF(Source!BI250&lt;=1,0,0)</f>
        <v>0</v>
      </c>
      <c r="AQ558">
        <f>IF(Source!BI250&lt;=1,0,0)</f>
        <v>0</v>
      </c>
      <c r="AX558">
        <f>IF(Source!BI250=2,J556,0)</f>
        <v>0</v>
      </c>
      <c r="AY558">
        <f>IF(Source!BI250=2,I558,0)</f>
        <v>0</v>
      </c>
      <c r="AZ558">
        <f>IF(Source!BI250=2,0,0)</f>
        <v>0</v>
      </c>
      <c r="BA558">
        <f>IF(Source!BI250=2,0,0)</f>
        <v>0</v>
      </c>
    </row>
    <row r="559" spans="1:56" ht="39.75">
      <c r="A559" s="57">
        <v>42</v>
      </c>
      <c r="B559" s="57" t="str">
        <f>Source!F251</f>
        <v>Прайс-лист</v>
      </c>
      <c r="C559" s="57" t="s">
        <v>851</v>
      </c>
      <c r="D559" s="41" t="str">
        <f>Source!H251</f>
        <v>шт.</v>
      </c>
      <c r="E559" s="37">
        <f>Source!K251</f>
        <v>340</v>
      </c>
      <c r="F559" s="37"/>
      <c r="G559" s="37">
        <f>Source!I251</f>
        <v>340</v>
      </c>
      <c r="H559" s="34">
        <f>Source!AL251</f>
        <v>21.520000000000003</v>
      </c>
      <c r="I559" s="42"/>
      <c r="J559" s="34">
        <f>Source!P251</f>
        <v>1420.74</v>
      </c>
      <c r="K559" s="42">
        <f>IF(Source!BC251&lt;&gt;0,Source!BC251,1)</f>
        <v>5.15</v>
      </c>
      <c r="L559" s="34">
        <f>Source!HG251</f>
        <v>7316.8</v>
      </c>
      <c r="AG559">
        <f>Source!X251</f>
        <v>0</v>
      </c>
      <c r="AH559">
        <f>Source!HK251</f>
        <v>0</v>
      </c>
      <c r="AI559">
        <f>Source!Y251</f>
        <v>0</v>
      </c>
      <c r="AJ559">
        <f>Source!HL251</f>
        <v>0</v>
      </c>
      <c r="AS559">
        <f>IF(Source!BI251&lt;=1,AH559,0)</f>
        <v>0</v>
      </c>
      <c r="AT559">
        <f>IF(Source!BI251&lt;=1,AJ559,0)</f>
        <v>0</v>
      </c>
      <c r="BC559">
        <f>IF(Source!BI251=2,AH559,0)</f>
        <v>0</v>
      </c>
      <c r="BD559">
        <f>IF(Source!BI251=2,AJ559,0)</f>
        <v>0</v>
      </c>
    </row>
    <row r="560" spans="1:12" ht="12.7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</row>
    <row r="561" spans="3:71" ht="15">
      <c r="C561" s="102" t="s">
        <v>779</v>
      </c>
      <c r="D561" s="102"/>
      <c r="E561" s="102"/>
      <c r="F561" s="102"/>
      <c r="G561" s="102"/>
      <c r="H561" s="102"/>
      <c r="I561" s="102">
        <f>J559</f>
        <v>1420.74</v>
      </c>
      <c r="J561" s="102"/>
      <c r="K561" s="102">
        <f>L559</f>
        <v>7316.8</v>
      </c>
      <c r="L561" s="102"/>
      <c r="O561" s="32">
        <f>I561</f>
        <v>1420.74</v>
      </c>
      <c r="P561" s="32">
        <f>K561</f>
        <v>7316.8</v>
      </c>
      <c r="Q561">
        <f>0</f>
        <v>0</v>
      </c>
      <c r="R561">
        <f>0</f>
        <v>0</v>
      </c>
      <c r="U561">
        <f>0</f>
        <v>0</v>
      </c>
      <c r="X561">
        <f>0</f>
        <v>0</v>
      </c>
      <c r="Z561">
        <f>0</f>
        <v>0</v>
      </c>
      <c r="AB561">
        <f>0</f>
        <v>0</v>
      </c>
      <c r="AD561">
        <f>0</f>
        <v>0</v>
      </c>
      <c r="AF561" s="32">
        <f>I561</f>
        <v>1420.74</v>
      </c>
      <c r="AN561">
        <f>IF(Source!BI251&lt;=1,J559,0)</f>
        <v>0</v>
      </c>
      <c r="AO561">
        <f>IF(Source!BI251&lt;=1,I561,0)</f>
        <v>0</v>
      </c>
      <c r="AP561">
        <f>IF(Source!BI251&lt;=1,0,0)</f>
        <v>0</v>
      </c>
      <c r="AQ561">
        <f>IF(Source!BI251&lt;=1,0,0)</f>
        <v>0</v>
      </c>
      <c r="AX561">
        <f>IF(Source!BI251=2,J559,0)</f>
        <v>1420.74</v>
      </c>
      <c r="AY561">
        <f>IF(Source!BI251=2,I561,0)</f>
        <v>1420.74</v>
      </c>
      <c r="AZ561">
        <f>IF(Source!BI251=2,0,0)</f>
        <v>0</v>
      </c>
      <c r="BA561">
        <f>IF(Source!BI251=2,0,0)</f>
        <v>0</v>
      </c>
      <c r="BQ561" s="32">
        <f>I561</f>
        <v>1420.74</v>
      </c>
      <c r="BS561" s="32">
        <f>K561</f>
        <v>7316.8</v>
      </c>
    </row>
    <row r="562" spans="1:56" ht="14.25">
      <c r="A562" s="57">
        <v>43</v>
      </c>
      <c r="B562" s="57" t="str">
        <f>Source!F252</f>
        <v>509-0808</v>
      </c>
      <c r="C562" s="57" t="str">
        <f>Source!G252</f>
        <v>Заделки концевые эпоксидные</v>
      </c>
      <c r="D562" s="41" t="str">
        <f>Source!H252</f>
        <v>компл.</v>
      </c>
      <c r="E562" s="37">
        <f>Source!K252</f>
        <v>1</v>
      </c>
      <c r="F562" s="37"/>
      <c r="G562" s="37">
        <f>Source!I252</f>
        <v>1</v>
      </c>
      <c r="H562" s="34">
        <f>Source!AL252</f>
        <v>585.72</v>
      </c>
      <c r="I562" s="42"/>
      <c r="J562" s="34">
        <f>ROUND(Source!AC252*Source!I252,2)</f>
        <v>585.72</v>
      </c>
      <c r="K562" s="42"/>
      <c r="L562" s="34"/>
      <c r="AG562">
        <f>Source!X252</f>
        <v>0</v>
      </c>
      <c r="AH562">
        <f>Source!HK252</f>
        <v>0</v>
      </c>
      <c r="AI562">
        <f>Source!Y252</f>
        <v>0</v>
      </c>
      <c r="AJ562">
        <f>Source!HL252</f>
        <v>0</v>
      </c>
      <c r="AS562">
        <f>IF(Source!BI252&lt;=1,AH562,0)</f>
        <v>0</v>
      </c>
      <c r="AT562">
        <f>IF(Source!BI252&lt;=1,AJ562,0)</f>
        <v>0</v>
      </c>
      <c r="BC562">
        <f>IF(Source!BI252=2,AH562,0)</f>
        <v>0</v>
      </c>
      <c r="BD562">
        <f>IF(Source!BI252=2,AJ562,0)</f>
        <v>0</v>
      </c>
    </row>
    <row r="563" spans="1:12" ht="12.7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</row>
    <row r="564" spans="3:53" ht="15">
      <c r="C564" s="102" t="s">
        <v>779</v>
      </c>
      <c r="D564" s="102"/>
      <c r="E564" s="102"/>
      <c r="F564" s="102"/>
      <c r="G564" s="102"/>
      <c r="H564" s="102"/>
      <c r="I564" s="102">
        <f>J562</f>
        <v>585.72</v>
      </c>
      <c r="J564" s="102"/>
      <c r="O564" s="32">
        <f>I564</f>
        <v>585.72</v>
      </c>
      <c r="P564">
        <f>K564</f>
        <v>0</v>
      </c>
      <c r="Q564">
        <f>0</f>
        <v>0</v>
      </c>
      <c r="R564">
        <f>0</f>
        <v>0</v>
      </c>
      <c r="U564">
        <f>0</f>
        <v>0</v>
      </c>
      <c r="X564">
        <f>0</f>
        <v>0</v>
      </c>
      <c r="Z564">
        <f>0</f>
        <v>0</v>
      </c>
      <c r="AB564">
        <f>0</f>
        <v>0</v>
      </c>
      <c r="AD564">
        <f>0</f>
        <v>0</v>
      </c>
      <c r="AF564" s="32">
        <f>I564</f>
        <v>585.72</v>
      </c>
      <c r="AN564">
        <f>IF(Source!BI252&lt;=1,J562,0)</f>
        <v>0</v>
      </c>
      <c r="AO564">
        <f>IF(Source!BI252&lt;=1,I564,0)</f>
        <v>0</v>
      </c>
      <c r="AP564">
        <f>IF(Source!BI252&lt;=1,0,0)</f>
        <v>0</v>
      </c>
      <c r="AQ564">
        <f>IF(Source!BI252&lt;=1,0,0)</f>
        <v>0</v>
      </c>
      <c r="AX564">
        <f>IF(Source!BI252=2,J562,0)</f>
        <v>585.72</v>
      </c>
      <c r="AY564">
        <f>IF(Source!BI252=2,I564,0)</f>
        <v>585.72</v>
      </c>
      <c r="AZ564">
        <f>IF(Source!BI252=2,0,0)</f>
        <v>0</v>
      </c>
      <c r="BA564">
        <f>IF(Source!BI252=2,0,0)</f>
        <v>0</v>
      </c>
    </row>
    <row r="565" spans="1:56" ht="99.75">
      <c r="A565" s="57">
        <v>44</v>
      </c>
      <c r="B565" s="57" t="str">
        <f>Source!F253</f>
        <v>502-0774</v>
      </c>
      <c r="C565" s="57" t="s">
        <v>879</v>
      </c>
      <c r="D565" s="41" t="str">
        <f>Source!H253</f>
        <v>компл.</v>
      </c>
      <c r="E565" s="37">
        <f>Source!K253</f>
        <v>1</v>
      </c>
      <c r="F565" s="37"/>
      <c r="G565" s="37">
        <f>Source!I253</f>
        <v>1</v>
      </c>
      <c r="H565" s="34">
        <f>Source!AL253</f>
        <v>1279.07</v>
      </c>
      <c r="I565" s="42"/>
      <c r="J565" s="34">
        <f>ROUND(Source!AC253*Source!I253,2)</f>
        <v>1279.07</v>
      </c>
      <c r="K565" s="42"/>
      <c r="L565" s="34"/>
      <c r="AG565">
        <f>Source!X253</f>
        <v>0</v>
      </c>
      <c r="AH565">
        <f>Source!HK253</f>
        <v>0</v>
      </c>
      <c r="AI565">
        <f>Source!Y253</f>
        <v>0</v>
      </c>
      <c r="AJ565">
        <f>Source!HL253</f>
        <v>0</v>
      </c>
      <c r="AS565">
        <f>IF(Source!BI253&lt;=1,AH565,0)</f>
        <v>0</v>
      </c>
      <c r="AT565">
        <f>IF(Source!BI253&lt;=1,AJ565,0)</f>
        <v>0</v>
      </c>
      <c r="BC565">
        <f>IF(Source!BI253=2,AH565,0)</f>
        <v>0</v>
      </c>
      <c r="BD565">
        <f>IF(Source!BI253=2,AJ565,0)</f>
        <v>0</v>
      </c>
    </row>
    <row r="566" spans="1:12" ht="12.7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</row>
    <row r="567" spans="3:53" ht="15">
      <c r="C567" s="102" t="s">
        <v>779</v>
      </c>
      <c r="D567" s="102"/>
      <c r="E567" s="102"/>
      <c r="F567" s="102"/>
      <c r="G567" s="102"/>
      <c r="H567" s="102"/>
      <c r="I567" s="102">
        <f>J565</f>
        <v>1279.07</v>
      </c>
      <c r="J567" s="102"/>
      <c r="O567" s="32">
        <f>I567</f>
        <v>1279.07</v>
      </c>
      <c r="P567">
        <f>K567</f>
        <v>0</v>
      </c>
      <c r="Q567">
        <f>0</f>
        <v>0</v>
      </c>
      <c r="R567">
        <f>0</f>
        <v>0</v>
      </c>
      <c r="U567">
        <f>0</f>
        <v>0</v>
      </c>
      <c r="X567">
        <f>0</f>
        <v>0</v>
      </c>
      <c r="Z567">
        <f>0</f>
        <v>0</v>
      </c>
      <c r="AB567">
        <f>0</f>
        <v>0</v>
      </c>
      <c r="AD567">
        <f>0</f>
        <v>0</v>
      </c>
      <c r="AF567" s="32">
        <f>I567</f>
        <v>1279.07</v>
      </c>
      <c r="AN567">
        <f>IF(Source!BI253&lt;=1,J565,0)</f>
        <v>0</v>
      </c>
      <c r="AO567">
        <f>IF(Source!BI253&lt;=1,I567,0)</f>
        <v>0</v>
      </c>
      <c r="AP567">
        <f>IF(Source!BI253&lt;=1,0,0)</f>
        <v>0</v>
      </c>
      <c r="AQ567">
        <f>IF(Source!BI253&lt;=1,0,0)</f>
        <v>0</v>
      </c>
      <c r="AX567">
        <f>IF(Source!BI253=2,J565,0)</f>
        <v>1279.07</v>
      </c>
      <c r="AY567">
        <f>IF(Source!BI253=2,I567,0)</f>
        <v>1279.07</v>
      </c>
      <c r="AZ567">
        <f>IF(Source!BI253=2,0,0)</f>
        <v>0</v>
      </c>
      <c r="BA567">
        <f>IF(Source!BI253=2,0,0)</f>
        <v>0</v>
      </c>
    </row>
    <row r="568" spans="1:56" ht="54">
      <c r="A568" s="57">
        <v>45</v>
      </c>
      <c r="B568" s="57" t="str">
        <f>Source!F254</f>
        <v>прайс-лист</v>
      </c>
      <c r="C568" s="57" t="s">
        <v>852</v>
      </c>
      <c r="D568" s="41" t="str">
        <f>Source!H254</f>
        <v>ШТ</v>
      </c>
      <c r="E568" s="37">
        <f>Source!K254</f>
        <v>6</v>
      </c>
      <c r="F568" s="37"/>
      <c r="G568" s="37">
        <f>Source!I254</f>
        <v>6</v>
      </c>
      <c r="H568" s="34">
        <f>Source!AL254</f>
        <v>626.8299999999999</v>
      </c>
      <c r="I568" s="42"/>
      <c r="J568" s="34">
        <f>Source!P254</f>
        <v>730.29</v>
      </c>
      <c r="K568" s="42">
        <f>IF(Source!BC254&lt;&gt;0,Source!BC254,1)</f>
        <v>5.15</v>
      </c>
      <c r="L568" s="34">
        <f>Source!HG254</f>
        <v>3760.98</v>
      </c>
      <c r="AG568">
        <f>Source!X254</f>
        <v>0</v>
      </c>
      <c r="AH568">
        <f>Source!HK254</f>
        <v>0</v>
      </c>
      <c r="AI568">
        <f>Source!Y254</f>
        <v>0</v>
      </c>
      <c r="AJ568">
        <f>Source!HL254</f>
        <v>0</v>
      </c>
      <c r="AS568">
        <f>IF(Source!BI254&lt;=1,AH568,0)</f>
        <v>0</v>
      </c>
      <c r="AT568">
        <f>IF(Source!BI254&lt;=1,AJ568,0)</f>
        <v>0</v>
      </c>
      <c r="BC568">
        <f>IF(Source!BI254=2,AH568,0)</f>
        <v>0</v>
      </c>
      <c r="BD568">
        <f>IF(Source!BI254=2,AJ568,0)</f>
        <v>0</v>
      </c>
    </row>
    <row r="569" spans="1:12" ht="12.7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</row>
    <row r="570" spans="3:71" ht="15">
      <c r="C570" s="102" t="s">
        <v>779</v>
      </c>
      <c r="D570" s="102"/>
      <c r="E570" s="102"/>
      <c r="F570" s="102"/>
      <c r="G570" s="102"/>
      <c r="H570" s="102"/>
      <c r="I570" s="102">
        <f>J568</f>
        <v>730.29</v>
      </c>
      <c r="J570" s="102"/>
      <c r="K570" s="102">
        <f>L568</f>
        <v>3760.98</v>
      </c>
      <c r="L570" s="102"/>
      <c r="O570" s="32">
        <f>I570</f>
        <v>730.29</v>
      </c>
      <c r="P570" s="32">
        <f>K570</f>
        <v>3760.98</v>
      </c>
      <c r="Q570">
        <f>0</f>
        <v>0</v>
      </c>
      <c r="R570">
        <f>0</f>
        <v>0</v>
      </c>
      <c r="U570">
        <f>0</f>
        <v>0</v>
      </c>
      <c r="X570">
        <f>0</f>
        <v>0</v>
      </c>
      <c r="Z570">
        <f>0</f>
        <v>0</v>
      </c>
      <c r="AB570">
        <f>0</f>
        <v>0</v>
      </c>
      <c r="AD570">
        <f>0</f>
        <v>0</v>
      </c>
      <c r="AF570" s="32">
        <f>I570</f>
        <v>730.29</v>
      </c>
      <c r="AN570">
        <f>IF(Source!BI254&lt;=1,J568,0)</f>
        <v>0</v>
      </c>
      <c r="AO570">
        <f>IF(Source!BI254&lt;=1,I570,0)</f>
        <v>0</v>
      </c>
      <c r="AP570">
        <f>IF(Source!BI254&lt;=1,0,0)</f>
        <v>0</v>
      </c>
      <c r="AQ570">
        <f>IF(Source!BI254&lt;=1,0,0)</f>
        <v>0</v>
      </c>
      <c r="AX570">
        <f>IF(Source!BI254=2,J568,0)</f>
        <v>730.29</v>
      </c>
      <c r="AY570">
        <f>IF(Source!BI254=2,I570,0)</f>
        <v>730.29</v>
      </c>
      <c r="AZ570">
        <f>IF(Source!BI254=2,0,0)</f>
        <v>0</v>
      </c>
      <c r="BA570">
        <f>IF(Source!BI254=2,0,0)</f>
        <v>0</v>
      </c>
      <c r="BQ570" s="32">
        <f>I570</f>
        <v>730.29</v>
      </c>
      <c r="BS570" s="32">
        <f>K570</f>
        <v>3760.98</v>
      </c>
    </row>
    <row r="571" spans="1:56" ht="14.25">
      <c r="A571" s="57">
        <v>46</v>
      </c>
      <c r="B571" s="57" t="str">
        <f>Source!F255</f>
        <v>509-2898</v>
      </c>
      <c r="C571" s="57" t="str">
        <f>Source!G255</f>
        <v>Предохранители плавкие ПН2-250</v>
      </c>
      <c r="D571" s="41" t="str">
        <f>Source!H255</f>
        <v>шт.</v>
      </c>
      <c r="E571" s="37">
        <f>Source!K255</f>
        <v>3</v>
      </c>
      <c r="F571" s="37"/>
      <c r="G571" s="37">
        <f>Source!I255</f>
        <v>3</v>
      </c>
      <c r="H571" s="34">
        <f>Source!AL255</f>
        <v>47.55</v>
      </c>
      <c r="I571" s="42"/>
      <c r="J571" s="34">
        <f>ROUND(Source!AC255*Source!I255,2)</f>
        <v>142.65</v>
      </c>
      <c r="K571" s="42"/>
      <c r="L571" s="34"/>
      <c r="AG571">
        <f>Source!X255</f>
        <v>0</v>
      </c>
      <c r="AH571">
        <f>Source!HK255</f>
        <v>0</v>
      </c>
      <c r="AI571">
        <f>Source!Y255</f>
        <v>0</v>
      </c>
      <c r="AJ571">
        <f>Source!HL255</f>
        <v>0</v>
      </c>
      <c r="AS571">
        <f>IF(Source!BI255&lt;=1,AH571,0)</f>
        <v>0</v>
      </c>
      <c r="AT571">
        <f>IF(Source!BI255&lt;=1,AJ571,0)</f>
        <v>0</v>
      </c>
      <c r="BC571">
        <f>IF(Source!BI255=2,AH571,0)</f>
        <v>0</v>
      </c>
      <c r="BD571">
        <f>IF(Source!BI255=2,AJ571,0)</f>
        <v>0</v>
      </c>
    </row>
    <row r="572" spans="1:12" ht="12.7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</row>
    <row r="573" spans="3:53" ht="15">
      <c r="C573" s="102" t="s">
        <v>779</v>
      </c>
      <c r="D573" s="102"/>
      <c r="E573" s="102"/>
      <c r="F573" s="102"/>
      <c r="G573" s="102"/>
      <c r="H573" s="102"/>
      <c r="I573" s="102">
        <f>J571</f>
        <v>142.65</v>
      </c>
      <c r="J573" s="102"/>
      <c r="O573" s="32">
        <f>I573</f>
        <v>142.65</v>
      </c>
      <c r="P573">
        <f>K573</f>
        <v>0</v>
      </c>
      <c r="Q573">
        <f>0</f>
        <v>0</v>
      </c>
      <c r="R573">
        <f>0</f>
        <v>0</v>
      </c>
      <c r="U573">
        <f>0</f>
        <v>0</v>
      </c>
      <c r="X573">
        <f>0</f>
        <v>0</v>
      </c>
      <c r="Z573">
        <f>0</f>
        <v>0</v>
      </c>
      <c r="AB573">
        <f>0</f>
        <v>0</v>
      </c>
      <c r="AD573">
        <f>0</f>
        <v>0</v>
      </c>
      <c r="AF573" s="32">
        <f>I573</f>
        <v>142.65</v>
      </c>
      <c r="AN573">
        <f>IF(Source!BI255&lt;=1,J571,0)</f>
        <v>0</v>
      </c>
      <c r="AO573">
        <f>IF(Source!BI255&lt;=1,I573,0)</f>
        <v>0</v>
      </c>
      <c r="AP573">
        <f>IF(Source!BI255&lt;=1,0,0)</f>
        <v>0</v>
      </c>
      <c r="AQ573">
        <f>IF(Source!BI255&lt;=1,0,0)</f>
        <v>0</v>
      </c>
      <c r="AX573">
        <f>IF(Source!BI255=2,J571,0)</f>
        <v>142.65</v>
      </c>
      <c r="AY573">
        <f>IF(Source!BI255=2,I573,0)</f>
        <v>142.65</v>
      </c>
      <c r="AZ573">
        <f>IF(Source!BI255=2,0,0)</f>
        <v>0</v>
      </c>
      <c r="BA573">
        <f>IF(Source!BI255=2,0,0)</f>
        <v>0</v>
      </c>
    </row>
    <row r="575" spans="1:95" ht="15">
      <c r="A575" s="48"/>
      <c r="B575" s="49"/>
      <c r="C575" s="101" t="s">
        <v>800</v>
      </c>
      <c r="D575" s="101"/>
      <c r="E575" s="101"/>
      <c r="F575" s="101"/>
      <c r="G575" s="101"/>
      <c r="H575" s="101"/>
      <c r="I575" s="51"/>
      <c r="J575" s="52">
        <f>J577+J578+J579+J580</f>
        <v>35074.26</v>
      </c>
      <c r="K575" s="52"/>
      <c r="L575" s="52"/>
      <c r="CQ575" s="50" t="s">
        <v>800</v>
      </c>
    </row>
    <row r="576" spans="1:12" ht="14.25">
      <c r="A576" s="53"/>
      <c r="B576" s="54"/>
      <c r="C576" s="105" t="s">
        <v>801</v>
      </c>
      <c r="D576" s="104"/>
      <c r="E576" s="104"/>
      <c r="F576" s="104"/>
      <c r="G576" s="104"/>
      <c r="H576" s="104"/>
      <c r="I576" s="55"/>
      <c r="J576" s="56"/>
      <c r="K576" s="56"/>
      <c r="L576" s="56"/>
    </row>
    <row r="577" spans="1:12" ht="14.25" customHeight="1" hidden="1">
      <c r="A577" s="53"/>
      <c r="B577" s="54"/>
      <c r="C577" s="104" t="s">
        <v>802</v>
      </c>
      <c r="D577" s="104"/>
      <c r="E577" s="104"/>
      <c r="F577" s="104"/>
      <c r="G577" s="104"/>
      <c r="H577" s="104"/>
      <c r="I577" s="55"/>
      <c r="J577" s="56">
        <f>SUM(Q552:Q573)</f>
        <v>0</v>
      </c>
      <c r="K577" s="56"/>
      <c r="L577" s="56"/>
    </row>
    <row r="578" spans="1:12" ht="14.25" customHeight="1" hidden="1">
      <c r="A578" s="53"/>
      <c r="B578" s="54"/>
      <c r="C578" s="104" t="s">
        <v>803</v>
      </c>
      <c r="D578" s="104"/>
      <c r="E578" s="104"/>
      <c r="F578" s="104"/>
      <c r="G578" s="104"/>
      <c r="H578" s="104"/>
      <c r="I578" s="55"/>
      <c r="J578" s="56">
        <f>SUM(AB552:AB573)</f>
        <v>0</v>
      </c>
      <c r="K578" s="56"/>
      <c r="L578" s="56"/>
    </row>
    <row r="579" spans="1:12" ht="14.25">
      <c r="A579" s="53"/>
      <c r="B579" s="54"/>
      <c r="C579" s="104" t="s">
        <v>804</v>
      </c>
      <c r="D579" s="104"/>
      <c r="E579" s="104"/>
      <c r="F579" s="104"/>
      <c r="G579" s="104"/>
      <c r="H579" s="104"/>
      <c r="I579" s="55"/>
      <c r="J579" s="56">
        <f>Source!F260-J584</f>
        <v>35074.26</v>
      </c>
      <c r="K579" s="56"/>
      <c r="L579" s="56"/>
    </row>
    <row r="580" spans="1:12" ht="14.25" customHeight="1" hidden="1">
      <c r="A580" s="53"/>
      <c r="B580" s="54"/>
      <c r="C580" s="104" t="s">
        <v>805</v>
      </c>
      <c r="D580" s="104"/>
      <c r="E580" s="104"/>
      <c r="F580" s="104"/>
      <c r="G580" s="104"/>
      <c r="H580" s="104"/>
      <c r="I580" s="55"/>
      <c r="J580" s="56">
        <f>Source!F282</f>
        <v>0</v>
      </c>
      <c r="K580" s="56"/>
      <c r="L580" s="56"/>
    </row>
    <row r="581" spans="1:12" ht="14.25" customHeight="1" hidden="1">
      <c r="A581" s="53"/>
      <c r="B581" s="54"/>
      <c r="C581" s="104" t="s">
        <v>806</v>
      </c>
      <c r="D581" s="104"/>
      <c r="E581" s="104"/>
      <c r="F581" s="104"/>
      <c r="G581" s="104"/>
      <c r="H581" s="104"/>
      <c r="I581" s="55"/>
      <c r="J581" s="56">
        <f>SUM(Q552:Q573)+SUM(X552:X573)</f>
        <v>0</v>
      </c>
      <c r="K581" s="56"/>
      <c r="L581" s="56"/>
    </row>
    <row r="582" spans="1:12" ht="14.25" customHeight="1" hidden="1">
      <c r="A582" s="53"/>
      <c r="B582" s="54"/>
      <c r="C582" s="104" t="s">
        <v>807</v>
      </c>
      <c r="D582" s="104"/>
      <c r="E582" s="104"/>
      <c r="F582" s="104"/>
      <c r="G582" s="104"/>
      <c r="H582" s="104"/>
      <c r="I582" s="55"/>
      <c r="J582" s="56">
        <f>Source!F283</f>
        <v>0</v>
      </c>
      <c r="K582" s="56"/>
      <c r="L582" s="56"/>
    </row>
    <row r="583" spans="1:12" ht="14.25" customHeight="1" hidden="1">
      <c r="A583" s="53"/>
      <c r="B583" s="54"/>
      <c r="C583" s="104" t="s">
        <v>808</v>
      </c>
      <c r="D583" s="104"/>
      <c r="E583" s="104"/>
      <c r="F583" s="104"/>
      <c r="G583" s="104"/>
      <c r="H583" s="104"/>
      <c r="I583" s="55"/>
      <c r="J583" s="56">
        <f>Source!F284</f>
        <v>0</v>
      </c>
      <c r="K583" s="56"/>
      <c r="L583" s="56"/>
    </row>
    <row r="584" spans="1:12" ht="14.25" customHeight="1" hidden="1">
      <c r="A584" s="53"/>
      <c r="B584" s="54"/>
      <c r="C584" s="104" t="s">
        <v>809</v>
      </c>
      <c r="D584" s="104"/>
      <c r="E584" s="104"/>
      <c r="F584" s="104"/>
      <c r="G584" s="104"/>
      <c r="H584" s="104"/>
      <c r="I584" s="55"/>
      <c r="J584" s="56">
        <f>Source!F266</f>
        <v>0</v>
      </c>
      <c r="K584" s="56"/>
      <c r="L584" s="56"/>
    </row>
    <row r="585" spans="1:12" ht="14.25" customHeight="1" hidden="1">
      <c r="A585" s="53"/>
      <c r="B585" s="54"/>
      <c r="C585" s="104" t="s">
        <v>810</v>
      </c>
      <c r="D585" s="104"/>
      <c r="E585" s="104"/>
      <c r="F585" s="104"/>
      <c r="G585" s="104"/>
      <c r="H585" s="104"/>
      <c r="I585" s="55"/>
      <c r="J585" s="56">
        <f>Source!F276</f>
        <v>0</v>
      </c>
      <c r="K585" s="56"/>
      <c r="L585" s="56"/>
    </row>
    <row r="586" spans="1:12" ht="15">
      <c r="A586" s="48"/>
      <c r="B586" s="49"/>
      <c r="C586" s="101" t="s">
        <v>811</v>
      </c>
      <c r="D586" s="101"/>
      <c r="E586" s="101"/>
      <c r="F586" s="101"/>
      <c r="G586" s="101"/>
      <c r="H586" s="101"/>
      <c r="I586" s="51"/>
      <c r="J586" s="52">
        <f>Source!F285</f>
        <v>35074.26</v>
      </c>
      <c r="K586" s="52"/>
      <c r="L586" s="52"/>
    </row>
    <row r="587" spans="1:12" ht="14.25">
      <c r="A587" s="53"/>
      <c r="B587" s="54"/>
      <c r="C587" s="105" t="s">
        <v>801</v>
      </c>
      <c r="D587" s="104"/>
      <c r="E587" s="104"/>
      <c r="F587" s="104"/>
      <c r="G587" s="104"/>
      <c r="H587" s="104"/>
      <c r="I587" s="55"/>
      <c r="J587" s="56"/>
      <c r="K587" s="56"/>
      <c r="L587" s="56"/>
    </row>
    <row r="588" spans="1:12" ht="14.25">
      <c r="A588" s="53"/>
      <c r="B588" s="54"/>
      <c r="C588" s="104" t="s">
        <v>812</v>
      </c>
      <c r="D588" s="104"/>
      <c r="E588" s="104"/>
      <c r="F588" s="104"/>
      <c r="G588" s="104"/>
      <c r="H588" s="104"/>
      <c r="I588" s="55"/>
      <c r="J588" s="56"/>
      <c r="K588" s="56"/>
      <c r="L588" s="56">
        <f>SUM(BS552:BS573)</f>
        <v>166613.78</v>
      </c>
    </row>
    <row r="589" spans="1:12" ht="14.25" customHeight="1" hidden="1">
      <c r="A589" s="53"/>
      <c r="B589" s="54"/>
      <c r="C589" s="104" t="s">
        <v>813</v>
      </c>
      <c r="D589" s="104"/>
      <c r="E589" s="104"/>
      <c r="F589" s="104"/>
      <c r="G589" s="104"/>
      <c r="H589" s="104"/>
      <c r="I589" s="55"/>
      <c r="J589" s="56"/>
      <c r="K589" s="56"/>
      <c r="L589" s="56">
        <f>SUM(BT552:BT573)</f>
        <v>0</v>
      </c>
    </row>
    <row r="590" spans="3:10" ht="14.25">
      <c r="C590" s="103" t="str">
        <f>Source!H286</f>
        <v>Итого прямые затраты</v>
      </c>
      <c r="D590" s="103"/>
      <c r="E590" s="103"/>
      <c r="F590" s="103"/>
      <c r="G590" s="103"/>
      <c r="H590" s="103"/>
      <c r="I590" s="103"/>
      <c r="J590" s="33">
        <f>IF(Source!W286=0,"",Source!W286)</f>
        <v>35074</v>
      </c>
    </row>
    <row r="591" spans="3:10" ht="14.25">
      <c r="C591" s="103" t="str">
        <f>Source!H287</f>
        <v>Накладные расходы</v>
      </c>
      <c r="D591" s="103"/>
      <c r="E591" s="103"/>
      <c r="F591" s="103"/>
      <c r="G591" s="103"/>
      <c r="H591" s="103"/>
      <c r="I591" s="103"/>
      <c r="J591" s="33">
        <f>IF(Source!W287=0,"",Source!W287)</f>
      </c>
    </row>
    <row r="592" spans="3:10" ht="14.25">
      <c r="C592" s="103" t="str">
        <f>Source!H288</f>
        <v>Сметная прибыль</v>
      </c>
      <c r="D592" s="103"/>
      <c r="E592" s="103"/>
      <c r="F592" s="103"/>
      <c r="G592" s="103"/>
      <c r="H592" s="103"/>
      <c r="I592" s="103"/>
      <c r="J592" s="33">
        <f>IF(Source!W288=0,"",Source!W288)</f>
      </c>
    </row>
    <row r="593" spans="3:10" ht="14.25">
      <c r="C593" s="103" t="str">
        <f>Source!H289</f>
        <v>Итого</v>
      </c>
      <c r="D593" s="103"/>
      <c r="E593" s="103"/>
      <c r="F593" s="103"/>
      <c r="G593" s="103"/>
      <c r="H593" s="103"/>
      <c r="I593" s="103"/>
      <c r="J593" s="34">
        <f>IF(Source!W289=0,"",Source!W289)</f>
        <v>35074</v>
      </c>
    </row>
    <row r="594" spans="3:10" ht="14.25">
      <c r="C594" s="103" t="str">
        <f>Source!H290</f>
        <v>В том числе общестроительные работы</v>
      </c>
      <c r="D594" s="103"/>
      <c r="E594" s="103"/>
      <c r="F594" s="103"/>
      <c r="G594" s="103"/>
      <c r="H594" s="103"/>
      <c r="I594" s="103"/>
      <c r="J594" s="34">
        <f>IF(Source!W290=0,"",Source!W290)</f>
        <v>714.62</v>
      </c>
    </row>
    <row r="595" spans="3:10" ht="14.25">
      <c r="C595" s="103" t="str">
        <f>Source!H291</f>
        <v>В том числе монтажные работы</v>
      </c>
      <c r="D595" s="103"/>
      <c r="E595" s="103"/>
      <c r="F595" s="103"/>
      <c r="G595" s="103"/>
      <c r="H595" s="103"/>
      <c r="I595" s="103"/>
      <c r="J595" s="34">
        <f>IF(Source!W291=0,"",Source!W291)</f>
        <v>34359.64</v>
      </c>
    </row>
    <row r="597" spans="1:12" ht="16.5">
      <c r="A597" s="106" t="s">
        <v>853</v>
      </c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</row>
    <row r="598" spans="1:56" ht="81">
      <c r="A598" s="57">
        <v>47</v>
      </c>
      <c r="B598" s="57" t="str">
        <f>Source!F300</f>
        <v>п01-11-024-1</v>
      </c>
      <c r="C598" s="57" t="s">
        <v>854</v>
      </c>
      <c r="D598" s="41" t="str">
        <f>Source!H300</f>
        <v>1 фазировка</v>
      </c>
      <c r="E598" s="37">
        <f>Source!K300</f>
        <v>4</v>
      </c>
      <c r="F598" s="37"/>
      <c r="G598" s="37">
        <f>Source!I300</f>
        <v>4</v>
      </c>
      <c r="H598" s="34"/>
      <c r="I598" s="42"/>
      <c r="J598" s="34"/>
      <c r="K598" s="42"/>
      <c r="L598" s="34"/>
      <c r="AG598">
        <f>Source!X300</f>
        <v>36.26</v>
      </c>
      <c r="AH598">
        <f>Source!HK300</f>
        <v>1049</v>
      </c>
      <c r="AI598">
        <f>Source!Y300</f>
        <v>17.64</v>
      </c>
      <c r="AJ598">
        <f>Source!HL300</f>
        <v>510.33</v>
      </c>
      <c r="AS598">
        <f>IF(Source!BI300&lt;=1,AH598,0)</f>
        <v>0</v>
      </c>
      <c r="AT598">
        <f>IF(Source!BI300&lt;=1,AJ598,0)</f>
        <v>0</v>
      </c>
      <c r="BC598">
        <f>IF(Source!BI300=2,AH598,0)</f>
        <v>0</v>
      </c>
      <c r="BD598">
        <f>IF(Source!BI300=2,AJ598,0)</f>
        <v>0</v>
      </c>
    </row>
    <row r="600" spans="1:78" ht="14.25">
      <c r="A600" s="57"/>
      <c r="B600" s="58">
        <v>1</v>
      </c>
      <c r="C600" s="57" t="s">
        <v>771</v>
      </c>
      <c r="D600" s="41"/>
      <c r="E600" s="37"/>
      <c r="F600" s="37"/>
      <c r="G600" s="37"/>
      <c r="H600" s="34">
        <f>Source!AO300</f>
        <v>10.21</v>
      </c>
      <c r="I600" s="42">
        <f>ROUND(1.2,7)</f>
        <v>1.2</v>
      </c>
      <c r="J600" s="34">
        <f>ROUND(Source!AF300*Source!I300,2)</f>
        <v>49</v>
      </c>
      <c r="K600" s="42">
        <f>IF(Source!BA300&lt;&gt;0,Source!BA300,1)</f>
        <v>28.93</v>
      </c>
      <c r="L600" s="34">
        <f>Source!HJ300</f>
        <v>1417.57</v>
      </c>
      <c r="BU600">
        <f>Source!HJ300</f>
        <v>1417.57</v>
      </c>
      <c r="BX600">
        <f>ROUND(Source!HJ300*80/100,2)</f>
        <v>1134.06</v>
      </c>
      <c r="BY600">
        <f>Source!HJ300-BX600</f>
        <v>283.51</v>
      </c>
      <c r="BZ600">
        <f>Source!BM300</f>
        <v>200001</v>
      </c>
    </row>
    <row r="601" spans="1:12" ht="14.25">
      <c r="A601" s="57"/>
      <c r="B601" s="57"/>
      <c r="C601" s="59" t="s">
        <v>772</v>
      </c>
      <c r="D601" s="43" t="s">
        <v>773</v>
      </c>
      <c r="E601" s="44">
        <f>Source!AQ300</f>
        <v>0.82</v>
      </c>
      <c r="F601" s="44">
        <f>ROUND(1.2,7)</f>
        <v>1.2</v>
      </c>
      <c r="G601" s="44">
        <f>ROUND(Source!U300,7)</f>
        <v>3.936</v>
      </c>
      <c r="H601" s="45"/>
      <c r="I601" s="46"/>
      <c r="J601" s="45"/>
      <c r="K601" s="46"/>
      <c r="L601" s="45"/>
    </row>
    <row r="602" spans="1:12" ht="14.25">
      <c r="A602" s="57"/>
      <c r="B602" s="57"/>
      <c r="C602" s="57" t="s">
        <v>774</v>
      </c>
      <c r="D602" s="41"/>
      <c r="E602" s="37"/>
      <c r="F602" s="37"/>
      <c r="G602" s="37"/>
      <c r="H602" s="34">
        <f>H600</f>
        <v>10.21</v>
      </c>
      <c r="I602" s="42"/>
      <c r="J602" s="34">
        <f>J600</f>
        <v>49</v>
      </c>
      <c r="K602" s="42"/>
      <c r="L602" s="34"/>
    </row>
    <row r="603" spans="1:12" ht="14.25">
      <c r="A603" s="57"/>
      <c r="B603" s="57"/>
      <c r="C603" s="57" t="s">
        <v>775</v>
      </c>
      <c r="D603" s="41"/>
      <c r="E603" s="37"/>
      <c r="F603" s="37"/>
      <c r="G603" s="37"/>
      <c r="H603" s="34"/>
      <c r="I603" s="42"/>
      <c r="J603" s="34">
        <f>SUM(Q598:Q606)+SUM(V598:V606)+SUM(X598:X606)+SUM(Y598:Y606)</f>
        <v>49</v>
      </c>
      <c r="K603" s="42"/>
      <c r="L603" s="34">
        <f>SUM(U598:U606)+SUM(W598:W606)+SUM(Z598:Z606)+SUM(AA598:AA606)</f>
        <v>1417.57</v>
      </c>
    </row>
    <row r="604" spans="1:78" ht="14.25">
      <c r="A604" s="57"/>
      <c r="B604" s="57" t="s">
        <v>377</v>
      </c>
      <c r="C604" s="57" t="s">
        <v>855</v>
      </c>
      <c r="D604" s="41" t="s">
        <v>777</v>
      </c>
      <c r="E604" s="37">
        <f>Source!BZ300</f>
        <v>74</v>
      </c>
      <c r="F604" s="37"/>
      <c r="G604" s="37">
        <f>Source!AT300</f>
        <v>74</v>
      </c>
      <c r="H604" s="34"/>
      <c r="I604" s="42"/>
      <c r="J604" s="34">
        <f>SUM(AG598:AG606)</f>
        <v>36.26</v>
      </c>
      <c r="K604" s="42"/>
      <c r="L604" s="34">
        <f>SUM(AH598:AH606)</f>
        <v>1049</v>
      </c>
      <c r="BU604">
        <f>SUM(AH598:AH606)</f>
        <v>1049</v>
      </c>
      <c r="BX604">
        <f>ROUND(SUM(AH598:AH606)*80/100,2)</f>
        <v>839.2</v>
      </c>
      <c r="BY604">
        <f>SUM(AH598:AH606)-BX604</f>
        <v>209.79999999999995</v>
      </c>
      <c r="BZ604">
        <f>Source!BM300</f>
        <v>200001</v>
      </c>
    </row>
    <row r="605" spans="1:78" ht="14.25">
      <c r="A605" s="59"/>
      <c r="B605" s="59" t="s">
        <v>378</v>
      </c>
      <c r="C605" s="59" t="s">
        <v>856</v>
      </c>
      <c r="D605" s="43" t="s">
        <v>777</v>
      </c>
      <c r="E605" s="44">
        <f>Source!CA300</f>
        <v>36</v>
      </c>
      <c r="F605" s="44"/>
      <c r="G605" s="44">
        <f>Source!AU300</f>
        <v>36</v>
      </c>
      <c r="H605" s="45"/>
      <c r="I605" s="46"/>
      <c r="J605" s="45">
        <f>SUM(AI598:AI606)</f>
        <v>17.64</v>
      </c>
      <c r="K605" s="46"/>
      <c r="L605" s="45">
        <f>SUM(AJ598:AJ606)</f>
        <v>510.33</v>
      </c>
      <c r="BU605">
        <f>SUM(AJ598:AJ606)</f>
        <v>510.33</v>
      </c>
      <c r="BX605">
        <f>ROUND(SUM(AJ598:AJ606)*80/100,2)</f>
        <v>408.26</v>
      </c>
      <c r="BY605">
        <f>SUM(AJ598:AJ606)-BX605</f>
        <v>102.07</v>
      </c>
      <c r="BZ605">
        <f>Source!BM300</f>
        <v>200001</v>
      </c>
    </row>
    <row r="606" spans="3:79" ht="15">
      <c r="C606" s="102" t="s">
        <v>779</v>
      </c>
      <c r="D606" s="102"/>
      <c r="E606" s="102"/>
      <c r="F606" s="102"/>
      <c r="G606" s="102"/>
      <c r="H606" s="102"/>
      <c r="I606" s="102">
        <f>J600+J604+J605</f>
        <v>102.89999999999999</v>
      </c>
      <c r="J606" s="102"/>
      <c r="O606" s="32">
        <f>I606</f>
        <v>102.89999999999999</v>
      </c>
      <c r="P606">
        <f>K606</f>
        <v>0</v>
      </c>
      <c r="Q606" s="32">
        <f>J600</f>
        <v>49</v>
      </c>
      <c r="S606" s="32">
        <f>J600</f>
        <v>49</v>
      </c>
      <c r="U606" s="32">
        <f>L600</f>
        <v>1417.57</v>
      </c>
      <c r="X606">
        <f>0</f>
        <v>0</v>
      </c>
      <c r="Z606">
        <f>0</f>
        <v>0</v>
      </c>
      <c r="AB606">
        <f>0</f>
        <v>0</v>
      </c>
      <c r="AD606">
        <f>0</f>
        <v>0</v>
      </c>
      <c r="AF606">
        <f>0</f>
        <v>0</v>
      </c>
      <c r="AN606">
        <f>IF(Source!BI300&lt;=1,J600+J604+J605,0)</f>
        <v>0</v>
      </c>
      <c r="AO606">
        <f>IF(Source!BI300&lt;=1,0,0)</f>
        <v>0</v>
      </c>
      <c r="AP606">
        <f>IF(Source!BI300&lt;=1,0,0)</f>
        <v>0</v>
      </c>
      <c r="AQ606">
        <f>IF(Source!BI300&lt;=1,J600,0)</f>
        <v>0</v>
      </c>
      <c r="AX606">
        <f>IF(Source!BI300=2,J600+J604+J605,0)</f>
        <v>0</v>
      </c>
      <c r="AY606">
        <f>IF(Source!BI300=2,0,0)</f>
        <v>0</v>
      </c>
      <c r="AZ606">
        <f>IF(Source!BI300=2,0,0)</f>
        <v>0</v>
      </c>
      <c r="BA606">
        <f>IF(Source!BI300=2,J600,0)</f>
        <v>0</v>
      </c>
      <c r="BN606">
        <f>IF(Source!BI300=4,J600+J604+J605,0)</f>
        <v>102.89999999999999</v>
      </c>
      <c r="BV606">
        <f>ROUND(O606*80/100,2)</f>
        <v>82.32</v>
      </c>
      <c r="BW606" s="32">
        <f>O606-BV606</f>
        <v>20.58</v>
      </c>
      <c r="BZ606">
        <f>Source!BM300</f>
        <v>200001</v>
      </c>
      <c r="CA606" t="str">
        <f>Source!E300</f>
        <v>47</v>
      </c>
    </row>
    <row r="607" spans="1:56" ht="152.25">
      <c r="A607" s="57">
        <v>48</v>
      </c>
      <c r="B607" s="57" t="str">
        <f>Source!F301</f>
        <v>п01-11-028-1</v>
      </c>
      <c r="C607" s="57" t="s">
        <v>857</v>
      </c>
      <c r="D607" s="41" t="str">
        <f>Source!H301</f>
        <v>1 линия</v>
      </c>
      <c r="E607" s="37">
        <f>Source!K301</f>
        <v>1</v>
      </c>
      <c r="F607" s="37"/>
      <c r="G607" s="37">
        <f>Source!I301</f>
        <v>1</v>
      </c>
      <c r="H607" s="34"/>
      <c r="I607" s="42"/>
      <c r="J607" s="34"/>
      <c r="K607" s="42"/>
      <c r="L607" s="34"/>
      <c r="AG607">
        <f>Source!X301</f>
        <v>3.54</v>
      </c>
      <c r="AH607">
        <f>Source!HK301</f>
        <v>102.33</v>
      </c>
      <c r="AI607">
        <f>Source!Y301</f>
        <v>1.72</v>
      </c>
      <c r="AJ607">
        <f>Source!HL301</f>
        <v>49.78</v>
      </c>
      <c r="AS607">
        <f>IF(Source!BI301&lt;=1,AH607,0)</f>
        <v>0</v>
      </c>
      <c r="AT607">
        <f>IF(Source!BI301&lt;=1,AJ607,0)</f>
        <v>0</v>
      </c>
      <c r="BC607">
        <f>IF(Source!BI301=2,AH607,0)</f>
        <v>0</v>
      </c>
      <c r="BD607">
        <f>IF(Source!BI301=2,AJ607,0)</f>
        <v>0</v>
      </c>
    </row>
    <row r="609" spans="1:78" ht="14.25">
      <c r="A609" s="57"/>
      <c r="B609" s="58">
        <v>1</v>
      </c>
      <c r="C609" s="57" t="s">
        <v>771</v>
      </c>
      <c r="D609" s="41"/>
      <c r="E609" s="37"/>
      <c r="F609" s="37"/>
      <c r="G609" s="37"/>
      <c r="H609" s="34">
        <f>Source!AO301</f>
        <v>3.98</v>
      </c>
      <c r="I609" s="42">
        <f>ROUND(1.2,7)</f>
        <v>1.2</v>
      </c>
      <c r="J609" s="34">
        <f>ROUND(Source!AF301*Source!I301,2)</f>
        <v>4.78</v>
      </c>
      <c r="K609" s="42">
        <f>IF(Source!BA301&lt;&gt;0,Source!BA301,1)</f>
        <v>28.93</v>
      </c>
      <c r="L609" s="34">
        <f>Source!HJ301</f>
        <v>138.29</v>
      </c>
      <c r="BU609">
        <f>Source!HJ301</f>
        <v>138.29</v>
      </c>
      <c r="BX609">
        <f>ROUND(Source!HJ301*80/100,2)</f>
        <v>110.63</v>
      </c>
      <c r="BY609">
        <f>Source!HJ301-BX609</f>
        <v>27.659999999999997</v>
      </c>
      <c r="BZ609">
        <f>Source!BM301</f>
        <v>200001</v>
      </c>
    </row>
    <row r="610" spans="1:12" ht="14.25">
      <c r="A610" s="57"/>
      <c r="B610" s="57"/>
      <c r="C610" s="59" t="s">
        <v>772</v>
      </c>
      <c r="D610" s="43" t="s">
        <v>773</v>
      </c>
      <c r="E610" s="44">
        <f>Source!AQ301</f>
        <v>0.32</v>
      </c>
      <c r="F610" s="44">
        <f>ROUND(1.2,7)</f>
        <v>1.2</v>
      </c>
      <c r="G610" s="44">
        <f>ROUND(Source!U301,7)</f>
        <v>0.384</v>
      </c>
      <c r="H610" s="45"/>
      <c r="I610" s="46"/>
      <c r="J610" s="45"/>
      <c r="K610" s="46"/>
      <c r="L610" s="45"/>
    </row>
    <row r="611" spans="1:12" ht="14.25">
      <c r="A611" s="57"/>
      <c r="B611" s="57"/>
      <c r="C611" s="57" t="s">
        <v>774</v>
      </c>
      <c r="D611" s="41"/>
      <c r="E611" s="37"/>
      <c r="F611" s="37"/>
      <c r="G611" s="37"/>
      <c r="H611" s="34">
        <f>H609</f>
        <v>3.98</v>
      </c>
      <c r="I611" s="42"/>
      <c r="J611" s="34">
        <f>J609</f>
        <v>4.78</v>
      </c>
      <c r="K611" s="42"/>
      <c r="L611" s="34"/>
    </row>
    <row r="612" spans="1:12" ht="14.25">
      <c r="A612" s="57"/>
      <c r="B612" s="57"/>
      <c r="C612" s="57" t="s">
        <v>775</v>
      </c>
      <c r="D612" s="41"/>
      <c r="E612" s="37"/>
      <c r="F612" s="37"/>
      <c r="G612" s="37"/>
      <c r="H612" s="34"/>
      <c r="I612" s="42"/>
      <c r="J612" s="34">
        <f>SUM(Q607:Q615)+SUM(V607:V615)+SUM(X607:X615)+SUM(Y607:Y615)</f>
        <v>4.78</v>
      </c>
      <c r="K612" s="42"/>
      <c r="L612" s="34">
        <f>SUM(U607:U615)+SUM(W607:W615)+SUM(Z607:Z615)+SUM(AA607:AA615)</f>
        <v>138.29</v>
      </c>
    </row>
    <row r="613" spans="1:78" ht="14.25">
      <c r="A613" s="57"/>
      <c r="B613" s="57" t="s">
        <v>377</v>
      </c>
      <c r="C613" s="57" t="s">
        <v>855</v>
      </c>
      <c r="D613" s="41" t="s">
        <v>777</v>
      </c>
      <c r="E613" s="37">
        <f>Source!BZ301</f>
        <v>74</v>
      </c>
      <c r="F613" s="37"/>
      <c r="G613" s="37">
        <f>Source!AT301</f>
        <v>74</v>
      </c>
      <c r="H613" s="34"/>
      <c r="I613" s="42"/>
      <c r="J613" s="34">
        <f>SUM(AG607:AG615)</f>
        <v>3.54</v>
      </c>
      <c r="K613" s="42"/>
      <c r="L613" s="34">
        <f>SUM(AH607:AH615)</f>
        <v>102.33</v>
      </c>
      <c r="BU613">
        <f>SUM(AH607:AH615)</f>
        <v>102.33</v>
      </c>
      <c r="BX613">
        <f>ROUND(SUM(AH607:AH615)*80/100,2)</f>
        <v>81.86</v>
      </c>
      <c r="BY613">
        <f>SUM(AH607:AH615)-BX613</f>
        <v>20.47</v>
      </c>
      <c r="BZ613">
        <f>Source!BM301</f>
        <v>200001</v>
      </c>
    </row>
    <row r="614" spans="1:78" ht="14.25">
      <c r="A614" s="59"/>
      <c r="B614" s="59" t="s">
        <v>378</v>
      </c>
      <c r="C614" s="59" t="s">
        <v>856</v>
      </c>
      <c r="D614" s="43" t="s">
        <v>777</v>
      </c>
      <c r="E614" s="44">
        <f>Source!CA301</f>
        <v>36</v>
      </c>
      <c r="F614" s="44"/>
      <c r="G614" s="44">
        <f>Source!AU301</f>
        <v>36</v>
      </c>
      <c r="H614" s="45"/>
      <c r="I614" s="46"/>
      <c r="J614" s="45">
        <f>SUM(AI607:AI615)</f>
        <v>1.72</v>
      </c>
      <c r="K614" s="46"/>
      <c r="L614" s="45">
        <f>SUM(AJ607:AJ615)</f>
        <v>49.78</v>
      </c>
      <c r="BU614">
        <f>SUM(AJ607:AJ615)</f>
        <v>49.78</v>
      </c>
      <c r="BX614">
        <f>ROUND(SUM(AJ607:AJ615)*80/100,2)</f>
        <v>39.82</v>
      </c>
      <c r="BY614">
        <f>SUM(AJ607:AJ615)-BX614</f>
        <v>9.96</v>
      </c>
      <c r="BZ614">
        <f>Source!BM301</f>
        <v>200001</v>
      </c>
    </row>
    <row r="615" spans="3:79" ht="15">
      <c r="C615" s="102" t="s">
        <v>779</v>
      </c>
      <c r="D615" s="102"/>
      <c r="E615" s="102"/>
      <c r="F615" s="102"/>
      <c r="G615" s="102"/>
      <c r="H615" s="102"/>
      <c r="I615" s="102">
        <f>J609+J613+J614</f>
        <v>10.040000000000001</v>
      </c>
      <c r="J615" s="102"/>
      <c r="O615" s="32">
        <f>I615</f>
        <v>10.040000000000001</v>
      </c>
      <c r="P615">
        <f>K615</f>
        <v>0</v>
      </c>
      <c r="Q615" s="32">
        <f>J609</f>
        <v>4.78</v>
      </c>
      <c r="S615" s="32">
        <f>J609</f>
        <v>4.78</v>
      </c>
      <c r="U615" s="32">
        <f>L609</f>
        <v>138.29</v>
      </c>
      <c r="X615">
        <f>0</f>
        <v>0</v>
      </c>
      <c r="Z615">
        <f>0</f>
        <v>0</v>
      </c>
      <c r="AB615">
        <f>0</f>
        <v>0</v>
      </c>
      <c r="AD615">
        <f>0</f>
        <v>0</v>
      </c>
      <c r="AF615">
        <f>0</f>
        <v>0</v>
      </c>
      <c r="AN615">
        <f>IF(Source!BI301&lt;=1,J609+J613+J614,0)</f>
        <v>0</v>
      </c>
      <c r="AO615">
        <f>IF(Source!BI301&lt;=1,0,0)</f>
        <v>0</v>
      </c>
      <c r="AP615">
        <f>IF(Source!BI301&lt;=1,0,0)</f>
        <v>0</v>
      </c>
      <c r="AQ615">
        <f>IF(Source!BI301&lt;=1,J609,0)</f>
        <v>0</v>
      </c>
      <c r="AX615">
        <f>IF(Source!BI301=2,J609+J613+J614,0)</f>
        <v>0</v>
      </c>
      <c r="AY615">
        <f>IF(Source!BI301=2,0,0)</f>
        <v>0</v>
      </c>
      <c r="AZ615">
        <f>IF(Source!BI301=2,0,0)</f>
        <v>0</v>
      </c>
      <c r="BA615">
        <f>IF(Source!BI301=2,J609,0)</f>
        <v>0</v>
      </c>
      <c r="BN615">
        <f>IF(Source!BI301=4,J609+J613+J614,0)</f>
        <v>10.040000000000001</v>
      </c>
      <c r="BV615">
        <f>ROUND(O615*80/100,2)</f>
        <v>8.03</v>
      </c>
      <c r="BW615" s="32">
        <f>O615-BV615</f>
        <v>2.0100000000000016</v>
      </c>
      <c r="BZ615">
        <f>Source!BM301</f>
        <v>200001</v>
      </c>
      <c r="CA615" t="str">
        <f>Source!E301</f>
        <v>48</v>
      </c>
    </row>
    <row r="617" spans="1:95" ht="15">
      <c r="A617" s="48"/>
      <c r="B617" s="49"/>
      <c r="C617" s="101" t="s">
        <v>800</v>
      </c>
      <c r="D617" s="101"/>
      <c r="E617" s="101"/>
      <c r="F617" s="101"/>
      <c r="G617" s="101"/>
      <c r="H617" s="101"/>
      <c r="I617" s="51"/>
      <c r="J617" s="52">
        <f>J619+J620+J621+J622</f>
        <v>53.78</v>
      </c>
      <c r="K617" s="52"/>
      <c r="L617" s="52"/>
      <c r="CQ617" s="50" t="s">
        <v>800</v>
      </c>
    </row>
    <row r="618" spans="1:12" ht="14.25">
      <c r="A618" s="53"/>
      <c r="B618" s="54"/>
      <c r="C618" s="105" t="s">
        <v>801</v>
      </c>
      <c r="D618" s="104"/>
      <c r="E618" s="104"/>
      <c r="F618" s="104"/>
      <c r="G618" s="104"/>
      <c r="H618" s="104"/>
      <c r="I618" s="55"/>
      <c r="J618" s="56"/>
      <c r="K618" s="56"/>
      <c r="L618" s="56"/>
    </row>
    <row r="619" spans="1:12" ht="14.25">
      <c r="A619" s="53"/>
      <c r="B619" s="54"/>
      <c r="C619" s="104" t="s">
        <v>802</v>
      </c>
      <c r="D619" s="104"/>
      <c r="E619" s="104"/>
      <c r="F619" s="104"/>
      <c r="G619" s="104"/>
      <c r="H619" s="104"/>
      <c r="I619" s="55"/>
      <c r="J619" s="56">
        <f>SUM(Q597:Q615)</f>
        <v>53.78</v>
      </c>
      <c r="K619" s="56"/>
      <c r="L619" s="56"/>
    </row>
    <row r="620" spans="1:12" ht="14.25" customHeight="1" hidden="1">
      <c r="A620" s="53"/>
      <c r="B620" s="54"/>
      <c r="C620" s="104" t="s">
        <v>803</v>
      </c>
      <c r="D620" s="104"/>
      <c r="E620" s="104"/>
      <c r="F620" s="104"/>
      <c r="G620" s="104"/>
      <c r="H620" s="104"/>
      <c r="I620" s="55"/>
      <c r="J620" s="56">
        <f>SUM(AB597:AB615)</f>
        <v>0</v>
      </c>
      <c r="K620" s="56"/>
      <c r="L620" s="56"/>
    </row>
    <row r="621" spans="1:12" ht="14.25" customHeight="1" hidden="1">
      <c r="A621" s="53"/>
      <c r="B621" s="54"/>
      <c r="C621" s="104" t="s">
        <v>804</v>
      </c>
      <c r="D621" s="104"/>
      <c r="E621" s="104"/>
      <c r="F621" s="104"/>
      <c r="G621" s="104"/>
      <c r="H621" s="104"/>
      <c r="I621" s="55"/>
      <c r="J621" s="56">
        <f>Source!F306-J626</f>
        <v>0</v>
      </c>
      <c r="K621" s="56"/>
      <c r="L621" s="56"/>
    </row>
    <row r="622" spans="1:12" ht="14.25" customHeight="1" hidden="1">
      <c r="A622" s="53"/>
      <c r="B622" s="54"/>
      <c r="C622" s="104" t="s">
        <v>805</v>
      </c>
      <c r="D622" s="104"/>
      <c r="E622" s="104"/>
      <c r="F622" s="104"/>
      <c r="G622" s="104"/>
      <c r="H622" s="104"/>
      <c r="I622" s="55"/>
      <c r="J622" s="56">
        <f>Source!F328</f>
        <v>0</v>
      </c>
      <c r="K622" s="56"/>
      <c r="L622" s="56"/>
    </row>
    <row r="623" spans="1:12" ht="14.25">
      <c r="A623" s="53"/>
      <c r="B623" s="54"/>
      <c r="C623" s="104" t="s">
        <v>806</v>
      </c>
      <c r="D623" s="104"/>
      <c r="E623" s="104"/>
      <c r="F623" s="104"/>
      <c r="G623" s="104"/>
      <c r="H623" s="104"/>
      <c r="I623" s="55"/>
      <c r="J623" s="56">
        <f>SUM(Q597:Q615)+SUM(X597:X615)</f>
        <v>53.78</v>
      </c>
      <c r="K623" s="56"/>
      <c r="L623" s="56"/>
    </row>
    <row r="624" spans="1:12" ht="14.25">
      <c r="A624" s="53"/>
      <c r="B624" s="54"/>
      <c r="C624" s="104" t="s">
        <v>807</v>
      </c>
      <c r="D624" s="104"/>
      <c r="E624" s="104"/>
      <c r="F624" s="104"/>
      <c r="G624" s="104"/>
      <c r="H624" s="104"/>
      <c r="I624" s="55"/>
      <c r="J624" s="56">
        <f>Source!F329</f>
        <v>39.8</v>
      </c>
      <c r="K624" s="56"/>
      <c r="L624" s="56"/>
    </row>
    <row r="625" spans="1:12" ht="14.25">
      <c r="A625" s="53"/>
      <c r="B625" s="54"/>
      <c r="C625" s="104" t="s">
        <v>808</v>
      </c>
      <c r="D625" s="104"/>
      <c r="E625" s="104"/>
      <c r="F625" s="104"/>
      <c r="G625" s="104"/>
      <c r="H625" s="104"/>
      <c r="I625" s="55"/>
      <c r="J625" s="56">
        <f>Source!F330</f>
        <v>19.36</v>
      </c>
      <c r="K625" s="56"/>
      <c r="L625" s="56"/>
    </row>
    <row r="626" spans="1:12" ht="14.25" customHeight="1" hidden="1">
      <c r="A626" s="53"/>
      <c r="B626" s="54"/>
      <c r="C626" s="104" t="s">
        <v>809</v>
      </c>
      <c r="D626" s="104"/>
      <c r="E626" s="104"/>
      <c r="F626" s="104"/>
      <c r="G626" s="104"/>
      <c r="H626" s="104"/>
      <c r="I626" s="55"/>
      <c r="J626" s="56">
        <f>Source!F312</f>
        <v>0</v>
      </c>
      <c r="K626" s="56"/>
      <c r="L626" s="56"/>
    </row>
    <row r="627" spans="1:12" ht="14.25">
      <c r="A627" s="53"/>
      <c r="B627" s="54"/>
      <c r="C627" s="104" t="s">
        <v>810</v>
      </c>
      <c r="D627" s="104"/>
      <c r="E627" s="104"/>
      <c r="F627" s="104"/>
      <c r="G627" s="104"/>
      <c r="H627" s="104"/>
      <c r="I627" s="55"/>
      <c r="J627" s="56">
        <f>Source!F322</f>
        <v>112.94</v>
      </c>
      <c r="K627" s="56"/>
      <c r="L627" s="56"/>
    </row>
    <row r="628" spans="1:12" ht="15">
      <c r="A628" s="48"/>
      <c r="B628" s="49"/>
      <c r="C628" s="101" t="s">
        <v>811</v>
      </c>
      <c r="D628" s="101"/>
      <c r="E628" s="101"/>
      <c r="F628" s="101"/>
      <c r="G628" s="101"/>
      <c r="H628" s="101"/>
      <c r="I628" s="51"/>
      <c r="J628" s="52">
        <f>Source!F331</f>
        <v>112.94</v>
      </c>
      <c r="K628" s="52"/>
      <c r="L628" s="52"/>
    </row>
    <row r="629" spans="1:12" ht="14.25" customHeight="1" hidden="1">
      <c r="A629" s="53"/>
      <c r="B629" s="54"/>
      <c r="C629" s="105" t="s">
        <v>801</v>
      </c>
      <c r="D629" s="104"/>
      <c r="E629" s="104"/>
      <c r="F629" s="104"/>
      <c r="G629" s="104"/>
      <c r="H629" s="104"/>
      <c r="I629" s="55"/>
      <c r="J629" s="56"/>
      <c r="K629" s="56"/>
      <c r="L629" s="56"/>
    </row>
    <row r="630" spans="1:12" ht="14.25" customHeight="1" hidden="1">
      <c r="A630" s="53"/>
      <c r="B630" s="54"/>
      <c r="C630" s="104" t="s">
        <v>812</v>
      </c>
      <c r="D630" s="104"/>
      <c r="E630" s="104"/>
      <c r="F630" s="104"/>
      <c r="G630" s="104"/>
      <c r="H630" s="104"/>
      <c r="I630" s="55"/>
      <c r="J630" s="56"/>
      <c r="K630" s="56"/>
      <c r="L630" s="56">
        <f>SUM(BS597:BS615)</f>
        <v>0</v>
      </c>
    </row>
    <row r="631" spans="1:12" ht="14.25" customHeight="1" hidden="1">
      <c r="A631" s="53"/>
      <c r="B631" s="54"/>
      <c r="C631" s="104" t="s">
        <v>813</v>
      </c>
      <c r="D631" s="104"/>
      <c r="E631" s="104"/>
      <c r="F631" s="104"/>
      <c r="G631" s="104"/>
      <c r="H631" s="104"/>
      <c r="I631" s="55"/>
      <c r="J631" s="56"/>
      <c r="K631" s="56"/>
      <c r="L631" s="56">
        <f>SUM(BT597:BT615)</f>
        <v>0</v>
      </c>
    </row>
    <row r="632" spans="3:10" ht="14.25">
      <c r="C632" s="103" t="str">
        <f>Source!H332</f>
        <v>Итого прямые затраты</v>
      </c>
      <c r="D632" s="103"/>
      <c r="E632" s="103"/>
      <c r="F632" s="103"/>
      <c r="G632" s="103"/>
      <c r="H632" s="103"/>
      <c r="I632" s="103"/>
      <c r="J632" s="33">
        <f>IF(Source!W332=0,"",Source!W332)</f>
        <v>54</v>
      </c>
    </row>
    <row r="633" spans="3:10" ht="14.25">
      <c r="C633" s="103" t="str">
        <f>Source!H333</f>
        <v>Накладные расходы</v>
      </c>
      <c r="D633" s="103"/>
      <c r="E633" s="103"/>
      <c r="F633" s="103"/>
      <c r="G633" s="103"/>
      <c r="H633" s="103"/>
      <c r="I633" s="103"/>
      <c r="J633" s="33">
        <f>IF(Source!W333=0,"",Source!W333)</f>
        <v>40</v>
      </c>
    </row>
    <row r="634" spans="3:10" ht="14.25">
      <c r="C634" s="103" t="str">
        <f>Source!H334</f>
        <v>Сметная прибыль</v>
      </c>
      <c r="D634" s="103"/>
      <c r="E634" s="103"/>
      <c r="F634" s="103"/>
      <c r="G634" s="103"/>
      <c r="H634" s="103"/>
      <c r="I634" s="103"/>
      <c r="J634" s="33">
        <f>IF(Source!W334=0,"",Source!W334)</f>
        <v>19</v>
      </c>
    </row>
    <row r="635" spans="3:10" ht="14.25">
      <c r="C635" s="103" t="str">
        <f>Source!H335</f>
        <v>Итого</v>
      </c>
      <c r="D635" s="103"/>
      <c r="E635" s="103"/>
      <c r="F635" s="103"/>
      <c r="G635" s="103"/>
      <c r="H635" s="103"/>
      <c r="I635" s="103"/>
      <c r="J635" s="34">
        <f>IF(Source!W335=0,"",Source!W335)</f>
        <v>113</v>
      </c>
    </row>
    <row r="636" spans="3:10" ht="14.25">
      <c r="C636" s="103" t="str">
        <f>Source!H339</f>
        <v>В том числе прочие работы</v>
      </c>
      <c r="D636" s="103"/>
      <c r="E636" s="103"/>
      <c r="F636" s="103"/>
      <c r="G636" s="103"/>
      <c r="H636" s="103"/>
      <c r="I636" s="103"/>
      <c r="J636" s="34">
        <f>IF(Source!W339=0,"",Source!W339)</f>
        <v>112.94</v>
      </c>
    </row>
    <row r="638" spans="1:12" s="80" customFormat="1" ht="15.75">
      <c r="A638" s="76"/>
      <c r="B638" s="77"/>
      <c r="C638" s="98" t="s">
        <v>858</v>
      </c>
      <c r="D638" s="98"/>
      <c r="E638" s="98"/>
      <c r="F638" s="98"/>
      <c r="G638" s="98"/>
      <c r="H638" s="98"/>
      <c r="I638" s="78"/>
      <c r="J638" s="79"/>
      <c r="K638" s="79"/>
      <c r="L638" s="79"/>
    </row>
    <row r="639" spans="1:12" s="80" customFormat="1" ht="15.75">
      <c r="A639" s="76"/>
      <c r="B639" s="77"/>
      <c r="C639" s="98" t="s">
        <v>859</v>
      </c>
      <c r="D639" s="98"/>
      <c r="E639" s="98"/>
      <c r="F639" s="98"/>
      <c r="G639" s="98"/>
      <c r="H639" s="98"/>
      <c r="I639" s="78"/>
      <c r="J639" s="79">
        <f>J641+J642+J643+J644</f>
        <v>73612.93</v>
      </c>
      <c r="K639" s="79"/>
      <c r="L639" s="79">
        <f>L641+L642+L643+L644</f>
        <v>485043.33</v>
      </c>
    </row>
    <row r="640" spans="1:12" s="80" customFormat="1" ht="15">
      <c r="A640" s="81"/>
      <c r="B640" s="82"/>
      <c r="C640" s="99" t="s">
        <v>801</v>
      </c>
      <c r="D640" s="100"/>
      <c r="E640" s="100"/>
      <c r="F640" s="100"/>
      <c r="G640" s="100"/>
      <c r="H640" s="100"/>
      <c r="I640" s="83"/>
      <c r="J640" s="84"/>
      <c r="K640" s="84"/>
      <c r="L640" s="84"/>
    </row>
    <row r="641" spans="1:12" s="80" customFormat="1" ht="15">
      <c r="A641" s="81"/>
      <c r="B641" s="82"/>
      <c r="C641" s="100" t="s">
        <v>802</v>
      </c>
      <c r="D641" s="100"/>
      <c r="E641" s="100"/>
      <c r="F641" s="100"/>
      <c r="G641" s="100"/>
      <c r="H641" s="100"/>
      <c r="I641" s="83"/>
      <c r="J641" s="84">
        <f>SUM(Q28:Q636)</f>
        <v>1716.4899999999998</v>
      </c>
      <c r="K641" s="84"/>
      <c r="L641" s="84">
        <f>SUM(U28:U636)</f>
        <v>49658.09</v>
      </c>
    </row>
    <row r="642" spans="1:12" s="80" customFormat="1" ht="15">
      <c r="A642" s="81"/>
      <c r="B642" s="82">
        <f>Source!V445</f>
      </c>
      <c r="C642" s="100" t="s">
        <v>803</v>
      </c>
      <c r="D642" s="100"/>
      <c r="E642" s="100"/>
      <c r="F642" s="100"/>
      <c r="G642" s="100"/>
      <c r="H642" s="100"/>
      <c r="I642" s="83"/>
      <c r="J642" s="84">
        <f>SUM(AB28:AB636)</f>
        <v>25040.380000000005</v>
      </c>
      <c r="K642" s="84">
        <f>Source!E445</f>
        <v>7.72</v>
      </c>
      <c r="L642" s="84">
        <f>ROUND(J642*K642,2)</f>
        <v>193311.73</v>
      </c>
    </row>
    <row r="643" spans="1:12" s="80" customFormat="1" ht="15">
      <c r="A643" s="81"/>
      <c r="B643" s="82">
        <f>Source!U445</f>
      </c>
      <c r="C643" s="100" t="s">
        <v>804</v>
      </c>
      <c r="D643" s="100"/>
      <c r="E643" s="100"/>
      <c r="F643" s="100"/>
      <c r="G643" s="100"/>
      <c r="H643" s="100"/>
      <c r="I643" s="83"/>
      <c r="J643" s="84">
        <f>SUM(AF28:AF636)-J648</f>
        <v>46558.47</v>
      </c>
      <c r="K643" s="84">
        <f>Source!D445</f>
        <v>5.15</v>
      </c>
      <c r="L643" s="84">
        <f>ROUND(J643*K643,2)</f>
        <v>239776.12</v>
      </c>
    </row>
    <row r="644" spans="1:12" s="80" customFormat="1" ht="15">
      <c r="A644" s="81"/>
      <c r="B644" s="82">
        <f>Source!AB445</f>
      </c>
      <c r="C644" s="100" t="s">
        <v>805</v>
      </c>
      <c r="D644" s="100"/>
      <c r="E644" s="100"/>
      <c r="F644" s="100"/>
      <c r="G644" s="100"/>
      <c r="H644" s="100"/>
      <c r="I644" s="83"/>
      <c r="J644" s="84">
        <f>SUM(AR28:AR636)+SUM(BB28:BB636)+SUM(BI28:BI636)+SUM(BP28:BP636)</f>
        <v>297.59</v>
      </c>
      <c r="K644" s="84">
        <f>Source!L445</f>
        <v>7.72</v>
      </c>
      <c r="L644" s="84">
        <f>ROUND(J644*K644,2)</f>
        <v>2297.39</v>
      </c>
    </row>
    <row r="645" spans="1:12" s="80" customFormat="1" ht="15">
      <c r="A645" s="81"/>
      <c r="B645" s="82"/>
      <c r="C645" s="100" t="s">
        <v>860</v>
      </c>
      <c r="D645" s="100"/>
      <c r="E645" s="100"/>
      <c r="F645" s="100"/>
      <c r="G645" s="100"/>
      <c r="H645" s="100"/>
      <c r="I645" s="83"/>
      <c r="J645" s="84">
        <f>SUM(Q28:Q636)+SUM(X28:X636)</f>
        <v>2202.5299999999997</v>
      </c>
      <c r="K645" s="84"/>
      <c r="L645" s="84">
        <f>SUM(U28:U636)+SUM(Z28:Z636)</f>
        <v>63719.25</v>
      </c>
    </row>
    <row r="646" spans="1:12" s="80" customFormat="1" ht="15">
      <c r="A646" s="81"/>
      <c r="B646" s="82"/>
      <c r="C646" s="100" t="s">
        <v>861</v>
      </c>
      <c r="D646" s="100"/>
      <c r="E646" s="100"/>
      <c r="F646" s="100"/>
      <c r="G646" s="100"/>
      <c r="H646" s="100"/>
      <c r="I646" s="83"/>
      <c r="J646" s="84">
        <f>SUM(AG28:AG636)</f>
        <v>2219.040000000001</v>
      </c>
      <c r="K646" s="84"/>
      <c r="L646" s="84">
        <f>SUM(AH28:AH636)</f>
        <v>64196.93</v>
      </c>
    </row>
    <row r="647" spans="1:12" s="80" customFormat="1" ht="15">
      <c r="A647" s="81"/>
      <c r="B647" s="82"/>
      <c r="C647" s="100" t="s">
        <v>862</v>
      </c>
      <c r="D647" s="100"/>
      <c r="E647" s="100"/>
      <c r="F647" s="100"/>
      <c r="G647" s="100"/>
      <c r="H647" s="100"/>
      <c r="I647" s="83"/>
      <c r="J647" s="84">
        <f>SUM(AI28:AI636)</f>
        <v>1177.3900000000003</v>
      </c>
      <c r="K647" s="84"/>
      <c r="L647" s="84">
        <f>SUM(AJ28:AJ636)</f>
        <v>34062.25</v>
      </c>
    </row>
    <row r="648" spans="1:12" s="80" customFormat="1" ht="14.25" customHeight="1" hidden="1">
      <c r="A648" s="81"/>
      <c r="B648" s="82">
        <f>Source!Y445</f>
      </c>
      <c r="C648" s="100" t="s">
        <v>863</v>
      </c>
      <c r="D648" s="100"/>
      <c r="E648" s="100"/>
      <c r="F648" s="100"/>
      <c r="G648" s="100"/>
      <c r="H648" s="100"/>
      <c r="I648" s="83"/>
      <c r="J648" s="84">
        <f>SUM(BH28:BH636)</f>
        <v>0</v>
      </c>
      <c r="K648" s="84">
        <f>Source!H445</f>
        <v>1</v>
      </c>
      <c r="L648" s="84">
        <f>ROUND(J648*K648,2)</f>
        <v>0</v>
      </c>
    </row>
    <row r="649" spans="1:12" s="80" customFormat="1" ht="15">
      <c r="A649" s="81"/>
      <c r="B649" s="82"/>
      <c r="C649" s="100" t="s">
        <v>864</v>
      </c>
      <c r="D649" s="100"/>
      <c r="E649" s="100"/>
      <c r="F649" s="100"/>
      <c r="G649" s="100"/>
      <c r="H649" s="100"/>
      <c r="I649" s="83"/>
      <c r="J649" s="84">
        <f>J652+J651</f>
        <v>112.94</v>
      </c>
      <c r="K649" s="84"/>
      <c r="L649" s="84">
        <f>ROUND(L652+L651,2)</f>
        <v>3267.3</v>
      </c>
    </row>
    <row r="650" spans="1:12" s="80" customFormat="1" ht="15">
      <c r="A650" s="81"/>
      <c r="B650" s="82"/>
      <c r="C650" s="99" t="s">
        <v>801</v>
      </c>
      <c r="D650" s="100"/>
      <c r="E650" s="100"/>
      <c r="F650" s="100"/>
      <c r="G650" s="100"/>
      <c r="H650" s="100"/>
      <c r="I650" s="83"/>
      <c r="J650" s="84"/>
      <c r="K650" s="84"/>
      <c r="L650" s="84"/>
    </row>
    <row r="651" spans="1:12" s="80" customFormat="1" ht="15">
      <c r="A651" s="81"/>
      <c r="B651" s="82">
        <f>Source!AA445</f>
      </c>
      <c r="C651" s="100" t="s">
        <v>865</v>
      </c>
      <c r="D651" s="100"/>
      <c r="E651" s="100"/>
      <c r="F651" s="100"/>
      <c r="G651" s="100"/>
      <c r="H651" s="100"/>
      <c r="I651" s="83"/>
      <c r="J651" s="84">
        <f>SUM(BN28:BN636)</f>
        <v>112.94</v>
      </c>
      <c r="K651" s="84">
        <f>Source!K445</f>
        <v>28.93</v>
      </c>
      <c r="L651" s="84">
        <f>SUM(BU28:BU636)</f>
        <v>3267.2999999999997</v>
      </c>
    </row>
    <row r="652" spans="1:12" s="80" customFormat="1" ht="14.25" customHeight="1" hidden="1">
      <c r="A652" s="81"/>
      <c r="B652" s="82">
        <f>Source!Z445</f>
      </c>
      <c r="C652" s="100" t="s">
        <v>866</v>
      </c>
      <c r="D652" s="100"/>
      <c r="E652" s="100"/>
      <c r="F652" s="100"/>
      <c r="G652" s="100"/>
      <c r="H652" s="100"/>
      <c r="I652" s="83"/>
      <c r="J652" s="84">
        <f>SUM(BM28:BM636)</f>
        <v>0</v>
      </c>
      <c r="K652" s="84">
        <f>Source!I445</f>
        <v>1</v>
      </c>
      <c r="L652" s="84">
        <f>ROUND(J652*K652,2)</f>
        <v>0</v>
      </c>
    </row>
    <row r="653" spans="1:12" s="80" customFormat="1" ht="15">
      <c r="A653" s="81"/>
      <c r="B653" s="82"/>
      <c r="C653" s="100" t="s">
        <v>858</v>
      </c>
      <c r="D653" s="100"/>
      <c r="E653" s="100"/>
      <c r="F653" s="100"/>
      <c r="G653" s="100"/>
      <c r="H653" s="100"/>
      <c r="I653" s="83"/>
      <c r="J653" s="84">
        <f>J639+J646+J647+J648</f>
        <v>77009.36</v>
      </c>
      <c r="K653" s="84"/>
      <c r="L653" s="84">
        <f>L639+L646+L647+L648-0.01</f>
        <v>583302.5</v>
      </c>
    </row>
    <row r="654" spans="1:12" s="80" customFormat="1" ht="15">
      <c r="A654" s="89"/>
      <c r="B654" s="89"/>
      <c r="C654" s="130" t="s">
        <v>870</v>
      </c>
      <c r="D654" s="130"/>
      <c r="E654" s="130"/>
      <c r="F654" s="130"/>
      <c r="G654" s="130"/>
      <c r="H654" s="130"/>
      <c r="I654" s="131"/>
      <c r="J654" s="91"/>
      <c r="K654" s="132"/>
      <c r="L654" s="133">
        <f>L653*20%</f>
        <v>116660.5</v>
      </c>
    </row>
    <row r="655" spans="1:12" s="80" customFormat="1" ht="15.75">
      <c r="A655" s="89"/>
      <c r="B655" s="89"/>
      <c r="C655" s="94" t="s">
        <v>871</v>
      </c>
      <c r="D655" s="94"/>
      <c r="E655" s="94"/>
      <c r="F655" s="94"/>
      <c r="G655" s="94"/>
      <c r="H655" s="94"/>
      <c r="I655" s="90"/>
      <c r="J655" s="91"/>
      <c r="K655" s="92"/>
      <c r="L655" s="93">
        <f>L653+L654</f>
        <v>699963</v>
      </c>
    </row>
    <row r="656" spans="1:12" s="80" customFormat="1" ht="15.75">
      <c r="A656" s="85"/>
      <c r="B656" s="86"/>
      <c r="C656" s="86"/>
      <c r="D656" s="86"/>
      <c r="E656" s="86"/>
      <c r="F656" s="86"/>
      <c r="G656" s="86"/>
      <c r="H656" s="86"/>
      <c r="I656" s="87"/>
      <c r="J656" s="88"/>
      <c r="K656" s="88"/>
      <c r="L656" s="88"/>
    </row>
    <row r="657" spans="1:12" ht="52.5" customHeight="1">
      <c r="A657" s="60"/>
      <c r="B657" s="61"/>
      <c r="C657" s="62"/>
      <c r="D657" s="62"/>
      <c r="E657" s="62"/>
      <c r="F657" s="62"/>
      <c r="G657" s="62"/>
      <c r="H657" s="62"/>
      <c r="I657" s="63"/>
      <c r="J657" s="64"/>
      <c r="K657" s="64"/>
      <c r="L657" s="64"/>
    </row>
    <row r="658" spans="1:12" ht="12.7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</row>
    <row r="659" spans="1:12" ht="14.25">
      <c r="A659" s="95" t="s">
        <v>867</v>
      </c>
      <c r="B659" s="95"/>
      <c r="C659" s="66"/>
      <c r="D659" s="66"/>
      <c r="E659" s="66"/>
      <c r="F659" s="66"/>
      <c r="G659" s="66"/>
      <c r="H659" s="96"/>
      <c r="I659" s="96"/>
      <c r="J659" s="96"/>
      <c r="K659" s="96"/>
      <c r="L659" s="67"/>
    </row>
    <row r="660" spans="1:12" ht="14.25">
      <c r="A660" s="68"/>
      <c r="B660" s="68"/>
      <c r="C660" s="97" t="s">
        <v>868</v>
      </c>
      <c r="D660" s="97"/>
      <c r="E660" s="97"/>
      <c r="F660" s="97"/>
      <c r="G660" s="97"/>
      <c r="H660" s="68"/>
      <c r="I660" s="68"/>
      <c r="J660" s="68"/>
      <c r="K660" s="68"/>
      <c r="L660" s="67"/>
    </row>
    <row r="661" spans="1:12" ht="39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7"/>
    </row>
    <row r="662" spans="1:12" ht="14.25">
      <c r="A662" s="95" t="s">
        <v>869</v>
      </c>
      <c r="B662" s="95"/>
      <c r="C662" s="66"/>
      <c r="D662" s="66"/>
      <c r="E662" s="66"/>
      <c r="F662" s="66"/>
      <c r="G662" s="66"/>
      <c r="H662" s="96"/>
      <c r="I662" s="96"/>
      <c r="J662" s="96"/>
      <c r="K662" s="96"/>
      <c r="L662" s="67"/>
    </row>
    <row r="663" spans="1:12" ht="14.25">
      <c r="A663" s="68"/>
      <c r="B663" s="68"/>
      <c r="C663" s="97" t="s">
        <v>868</v>
      </c>
      <c r="D663" s="97"/>
      <c r="E663" s="97"/>
      <c r="F663" s="97"/>
      <c r="G663" s="97"/>
      <c r="H663" s="68"/>
      <c r="I663" s="68"/>
      <c r="J663" s="68"/>
      <c r="K663" s="68"/>
      <c r="L663" s="67"/>
    </row>
  </sheetData>
  <sheetProtection/>
  <mergeCells count="276">
    <mergeCell ref="C10:G10"/>
    <mergeCell ref="C11:G11"/>
    <mergeCell ref="D15:E15"/>
    <mergeCell ref="A2:G2"/>
    <mergeCell ref="I2:L2"/>
    <mergeCell ref="A3:F3"/>
    <mergeCell ref="I3:L4"/>
    <mergeCell ref="A4:G4"/>
    <mergeCell ref="A7:L7"/>
    <mergeCell ref="D18:E18"/>
    <mergeCell ref="D19:E19"/>
    <mergeCell ref="D20:E20"/>
    <mergeCell ref="D21:E21"/>
    <mergeCell ref="A23:A26"/>
    <mergeCell ref="B23:B26"/>
    <mergeCell ref="C23:C26"/>
    <mergeCell ref="D23:D26"/>
    <mergeCell ref="E23:G25"/>
    <mergeCell ref="H23:J25"/>
    <mergeCell ref="K23:K26"/>
    <mergeCell ref="L23:L26"/>
    <mergeCell ref="C169:I169"/>
    <mergeCell ref="C170:I170"/>
    <mergeCell ref="C171:I171"/>
    <mergeCell ref="I117:J117"/>
    <mergeCell ref="C117:H117"/>
    <mergeCell ref="I112:J112"/>
    <mergeCell ref="C112:H112"/>
    <mergeCell ref="C387:H387"/>
    <mergeCell ref="C386:H386"/>
    <mergeCell ref="C172:I172"/>
    <mergeCell ref="C173:I173"/>
    <mergeCell ref="C344:I344"/>
    <mergeCell ref="C345:I345"/>
    <mergeCell ref="C346:I346"/>
    <mergeCell ref="C281:H281"/>
    <mergeCell ref="I268:J268"/>
    <mergeCell ref="C268:H268"/>
    <mergeCell ref="C461:H461"/>
    <mergeCell ref="I445:J445"/>
    <mergeCell ref="C445:H445"/>
    <mergeCell ref="C347:I347"/>
    <mergeCell ref="C348:I348"/>
    <mergeCell ref="C399:I399"/>
    <mergeCell ref="C400:I400"/>
    <mergeCell ref="C401:I401"/>
    <mergeCell ref="C389:H389"/>
    <mergeCell ref="C388:H388"/>
    <mergeCell ref="C567:H567"/>
    <mergeCell ref="I564:J564"/>
    <mergeCell ref="C564:H564"/>
    <mergeCell ref="A552:L552"/>
    <mergeCell ref="C402:I402"/>
    <mergeCell ref="C403:I403"/>
    <mergeCell ref="C404:I404"/>
    <mergeCell ref="C545:I545"/>
    <mergeCell ref="C546:I546"/>
    <mergeCell ref="I461:J461"/>
    <mergeCell ref="C591:I591"/>
    <mergeCell ref="C592:I592"/>
    <mergeCell ref="C593:I593"/>
    <mergeCell ref="C594:I594"/>
    <mergeCell ref="C595:I595"/>
    <mergeCell ref="C547:I547"/>
    <mergeCell ref="C548:I548"/>
    <mergeCell ref="C549:I549"/>
    <mergeCell ref="C550:I550"/>
    <mergeCell ref="C590:I590"/>
    <mergeCell ref="C163:H163"/>
    <mergeCell ref="C162:H162"/>
    <mergeCell ref="C161:H161"/>
    <mergeCell ref="A662:B662"/>
    <mergeCell ref="H662:K662"/>
    <mergeCell ref="C663:G663"/>
    <mergeCell ref="C632:I632"/>
    <mergeCell ref="C633:I633"/>
    <mergeCell ref="C634:I634"/>
    <mergeCell ref="C635:I635"/>
    <mergeCell ref="I152:J152"/>
    <mergeCell ref="C152:H152"/>
    <mergeCell ref="I141:J141"/>
    <mergeCell ref="C141:H141"/>
    <mergeCell ref="I130:J130"/>
    <mergeCell ref="C130:H130"/>
    <mergeCell ref="I106:J106"/>
    <mergeCell ref="C106:H106"/>
    <mergeCell ref="I93:J93"/>
    <mergeCell ref="C93:H93"/>
    <mergeCell ref="I83:J83"/>
    <mergeCell ref="C83:H83"/>
    <mergeCell ref="I72:J72"/>
    <mergeCell ref="C72:H72"/>
    <mergeCell ref="I62:J62"/>
    <mergeCell ref="C62:H62"/>
    <mergeCell ref="I49:J49"/>
    <mergeCell ref="C49:H49"/>
    <mergeCell ref="I39:J39"/>
    <mergeCell ref="C39:H39"/>
    <mergeCell ref="A29:L29"/>
    <mergeCell ref="C187:H187"/>
    <mergeCell ref="A175:L175"/>
    <mergeCell ref="C168:H168"/>
    <mergeCell ref="C167:H167"/>
    <mergeCell ref="C166:H166"/>
    <mergeCell ref="C165:H165"/>
    <mergeCell ref="C164:H164"/>
    <mergeCell ref="C160:H160"/>
    <mergeCell ref="C159:H159"/>
    <mergeCell ref="C158:H158"/>
    <mergeCell ref="C157:H157"/>
    <mergeCell ref="C156:H156"/>
    <mergeCell ref="C155:H155"/>
    <mergeCell ref="C154:H154"/>
    <mergeCell ref="I327:J327"/>
    <mergeCell ref="C327:H327"/>
    <mergeCell ref="I316:J316"/>
    <mergeCell ref="C316:H316"/>
    <mergeCell ref="I305:J305"/>
    <mergeCell ref="C305:H305"/>
    <mergeCell ref="I292:J292"/>
    <mergeCell ref="C292:H292"/>
    <mergeCell ref="I281:J281"/>
    <mergeCell ref="C257:H257"/>
    <mergeCell ref="I243:J243"/>
    <mergeCell ref="C243:H243"/>
    <mergeCell ref="I229:J229"/>
    <mergeCell ref="C229:H229"/>
    <mergeCell ref="I215:J215"/>
    <mergeCell ref="C215:H215"/>
    <mergeCell ref="I257:J257"/>
    <mergeCell ref="I201:J201"/>
    <mergeCell ref="C201:H201"/>
    <mergeCell ref="I187:J187"/>
    <mergeCell ref="C364:H364"/>
    <mergeCell ref="A350:L350"/>
    <mergeCell ref="C343:H343"/>
    <mergeCell ref="C342:H342"/>
    <mergeCell ref="C341:H341"/>
    <mergeCell ref="C340:H340"/>
    <mergeCell ref="C339:H339"/>
    <mergeCell ref="C338:H338"/>
    <mergeCell ref="C337:H337"/>
    <mergeCell ref="C336:H336"/>
    <mergeCell ref="C335:H335"/>
    <mergeCell ref="C334:H334"/>
    <mergeCell ref="C333:H333"/>
    <mergeCell ref="C332:H332"/>
    <mergeCell ref="C331:H331"/>
    <mergeCell ref="C330:H330"/>
    <mergeCell ref="C329:H329"/>
    <mergeCell ref="C395:H395"/>
    <mergeCell ref="C394:H394"/>
    <mergeCell ref="C393:H393"/>
    <mergeCell ref="C392:H392"/>
    <mergeCell ref="C391:H391"/>
    <mergeCell ref="C390:H390"/>
    <mergeCell ref="C385:H385"/>
    <mergeCell ref="C384:H384"/>
    <mergeCell ref="I382:J382"/>
    <mergeCell ref="C382:H382"/>
    <mergeCell ref="I378:J378"/>
    <mergeCell ref="C378:H378"/>
    <mergeCell ref="I364:J364"/>
    <mergeCell ref="I494:J494"/>
    <mergeCell ref="C494:H494"/>
    <mergeCell ref="I490:J490"/>
    <mergeCell ref="C490:H490"/>
    <mergeCell ref="K478:L478"/>
    <mergeCell ref="I478:J478"/>
    <mergeCell ref="C478:H478"/>
    <mergeCell ref="I474:J474"/>
    <mergeCell ref="C474:H474"/>
    <mergeCell ref="I440:J440"/>
    <mergeCell ref="C440:H440"/>
    <mergeCell ref="I432:J432"/>
    <mergeCell ref="C432:H432"/>
    <mergeCell ref="I419:J419"/>
    <mergeCell ref="C419:H419"/>
    <mergeCell ref="A406:L406"/>
    <mergeCell ref="C398:H398"/>
    <mergeCell ref="C397:H397"/>
    <mergeCell ref="C396:H396"/>
    <mergeCell ref="C539:H539"/>
    <mergeCell ref="C538:H538"/>
    <mergeCell ref="C537:H537"/>
    <mergeCell ref="C536:H536"/>
    <mergeCell ref="C535:H535"/>
    <mergeCell ref="C534:H534"/>
    <mergeCell ref="C533:H533"/>
    <mergeCell ref="C532:H532"/>
    <mergeCell ref="C531:H531"/>
    <mergeCell ref="C530:H530"/>
    <mergeCell ref="K528:L528"/>
    <mergeCell ref="I528:J528"/>
    <mergeCell ref="C528:H528"/>
    <mergeCell ref="I524:J524"/>
    <mergeCell ref="C524:H524"/>
    <mergeCell ref="I509:J509"/>
    <mergeCell ref="C509:H509"/>
    <mergeCell ref="K494:L494"/>
    <mergeCell ref="C573:H573"/>
    <mergeCell ref="K570:L570"/>
    <mergeCell ref="I570:J570"/>
    <mergeCell ref="C570:H570"/>
    <mergeCell ref="I567:J567"/>
    <mergeCell ref="K561:L561"/>
    <mergeCell ref="I561:J561"/>
    <mergeCell ref="C561:H561"/>
    <mergeCell ref="I558:J558"/>
    <mergeCell ref="C558:H558"/>
    <mergeCell ref="K555:L555"/>
    <mergeCell ref="I555:J555"/>
    <mergeCell ref="C555:H555"/>
    <mergeCell ref="C544:H544"/>
    <mergeCell ref="C543:H543"/>
    <mergeCell ref="C542:H542"/>
    <mergeCell ref="C541:H541"/>
    <mergeCell ref="C540:H540"/>
    <mergeCell ref="C589:H589"/>
    <mergeCell ref="C588:H588"/>
    <mergeCell ref="C587:H587"/>
    <mergeCell ref="C586:H586"/>
    <mergeCell ref="C585:H585"/>
    <mergeCell ref="C584:H584"/>
    <mergeCell ref="C583:H583"/>
    <mergeCell ref="C582:H582"/>
    <mergeCell ref="C581:H581"/>
    <mergeCell ref="C580:H580"/>
    <mergeCell ref="C579:H579"/>
    <mergeCell ref="C578:H578"/>
    <mergeCell ref="C577:H577"/>
    <mergeCell ref="C576:H576"/>
    <mergeCell ref="C575:H575"/>
    <mergeCell ref="I573:J573"/>
    <mergeCell ref="C628:H628"/>
    <mergeCell ref="C627:H627"/>
    <mergeCell ref="C626:H626"/>
    <mergeCell ref="C625:H625"/>
    <mergeCell ref="C624:H624"/>
    <mergeCell ref="C641:H641"/>
    <mergeCell ref="I606:J606"/>
    <mergeCell ref="C606:H606"/>
    <mergeCell ref="A597:L597"/>
    <mergeCell ref="C623:H623"/>
    <mergeCell ref="C622:H622"/>
    <mergeCell ref="C621:H621"/>
    <mergeCell ref="C620:H620"/>
    <mergeCell ref="C619:H619"/>
    <mergeCell ref="C618:H618"/>
    <mergeCell ref="C617:H617"/>
    <mergeCell ref="I615:J615"/>
    <mergeCell ref="C615:H615"/>
    <mergeCell ref="C636:I636"/>
    <mergeCell ref="C631:H631"/>
    <mergeCell ref="C630:H630"/>
    <mergeCell ref="C629:H629"/>
    <mergeCell ref="C653:H653"/>
    <mergeCell ref="C652:H652"/>
    <mergeCell ref="C651:H651"/>
    <mergeCell ref="C644:H644"/>
    <mergeCell ref="C643:H643"/>
    <mergeCell ref="C642:H642"/>
    <mergeCell ref="C648:H648"/>
    <mergeCell ref="C647:H647"/>
    <mergeCell ref="C646:H646"/>
    <mergeCell ref="C645:H645"/>
    <mergeCell ref="C654:H654"/>
    <mergeCell ref="C655:H655"/>
    <mergeCell ref="A659:B659"/>
    <mergeCell ref="H659:K659"/>
    <mergeCell ref="C660:G660"/>
    <mergeCell ref="C638:H638"/>
    <mergeCell ref="C640:H640"/>
    <mergeCell ref="C639:H639"/>
    <mergeCell ref="C650:H650"/>
    <mergeCell ref="C649:H649"/>
  </mergeCells>
  <printOptions/>
  <pageMargins left="0.4" right="0.2" top="0.2" bottom="0.4" header="0.2" footer="0.2"/>
  <pageSetup fitToHeight="0" fitToWidth="1" horizontalDpi="600" verticalDpi="600" orientation="portrait" paperSize="9" scale="5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449"/>
  <sheetViews>
    <sheetView zoomScalePageLayoutView="0" workbookViewId="0" topLeftCell="A1">
      <selection activeCell="A445" sqref="A445:AN445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46481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444</v>
      </c>
      <c r="C12" s="1">
        <v>0</v>
      </c>
      <c r="D12" s="1">
        <f>ROW(A381)</f>
        <v>381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 t="s">
        <v>11</v>
      </c>
      <c r="CR12" s="1" t="s">
        <v>12</v>
      </c>
      <c r="CS12" s="1">
        <v>42066</v>
      </c>
      <c r="CT12" s="1">
        <v>232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2">
        <v>52</v>
      </c>
      <c r="B18" s="2">
        <f aca="true" t="shared" si="0" ref="B18:G18">B381</f>
        <v>444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объект_(Копия)_(Копия)_(Копия)_(Копия)_(Копия)_(Копия)_(Копия)_(Копия)_(Копия)_(Копия)_(Копия)_(Копия)_(Копия)_(Копия)_(Копия)_(Копия)_(Копия)_(Копия)_(Копия)</v>
      </c>
      <c r="G18" s="2" t="str">
        <f t="shared" si="0"/>
        <v>114-06-23 КЛ-1 кВ АВББШВ 4*50 ул.Рахманинова, д.2б_для розыгрыша</v>
      </c>
      <c r="H18" s="2"/>
      <c r="I18" s="2"/>
      <c r="J18" s="2"/>
      <c r="K18" s="2"/>
      <c r="L18" s="2"/>
      <c r="M18" s="2"/>
      <c r="N18" s="2"/>
      <c r="O18" s="2">
        <f aca="true" t="shared" si="1" ref="O18:AT18">O381</f>
        <v>73612.93</v>
      </c>
      <c r="P18" s="2">
        <f t="shared" si="1"/>
        <v>46558.47</v>
      </c>
      <c r="Q18" s="2">
        <f t="shared" si="1"/>
        <v>25337.97</v>
      </c>
      <c r="R18" s="2">
        <f t="shared" si="1"/>
        <v>486.04</v>
      </c>
      <c r="S18" s="2">
        <f t="shared" si="1"/>
        <v>1716.49</v>
      </c>
      <c r="T18" s="2">
        <f t="shared" si="1"/>
        <v>0</v>
      </c>
      <c r="U18" s="2">
        <f t="shared" si="1"/>
        <v>194.96256616</v>
      </c>
      <c r="V18" s="2">
        <f t="shared" si="1"/>
        <v>38.75990456</v>
      </c>
      <c r="W18" s="2">
        <f t="shared" si="1"/>
        <v>0</v>
      </c>
      <c r="X18" s="2">
        <f t="shared" si="1"/>
        <v>2219.04</v>
      </c>
      <c r="Y18" s="2">
        <f t="shared" si="1"/>
        <v>1177.39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77009.36</v>
      </c>
      <c r="AS18" s="2">
        <f t="shared" si="1"/>
        <v>31007.14</v>
      </c>
      <c r="AT18" s="2">
        <f t="shared" si="1"/>
        <v>45889.28</v>
      </c>
      <c r="AU18" s="2">
        <f aca="true" t="shared" si="2" ref="AU18:BZ18">AU381</f>
        <v>112.94</v>
      </c>
      <c r="AV18" s="2">
        <f t="shared" si="2"/>
        <v>46558.47</v>
      </c>
      <c r="AW18" s="2">
        <f t="shared" si="2"/>
        <v>46558.47</v>
      </c>
      <c r="AX18" s="2">
        <f t="shared" si="2"/>
        <v>0</v>
      </c>
      <c r="AY18" s="2">
        <f t="shared" si="2"/>
        <v>46558.47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297.59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aca="true" t="shared" si="3" ref="CA18:DF18">CA381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aca="true" t="shared" si="4" ref="DG18:EL18">DG381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aca="true" t="shared" si="5" ref="EM18:FR18">EM381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aca="true" t="shared" si="6" ref="FS18:GX18">FS381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ROW(A342)</f>
        <v>342</v>
      </c>
      <c r="E20" s="1"/>
      <c r="F20" s="1" t="s">
        <v>3</v>
      </c>
      <c r="G20" s="1" t="s">
        <v>13</v>
      </c>
      <c r="H20" s="1" t="s">
        <v>3</v>
      </c>
      <c r="I20" s="1">
        <v>0</v>
      </c>
      <c r="J20" s="1" t="s">
        <v>3</v>
      </c>
      <c r="K20" s="1">
        <v>-1</v>
      </c>
      <c r="L20" s="1" t="s">
        <v>14</v>
      </c>
      <c r="M20" s="1" t="s">
        <v>3</v>
      </c>
      <c r="N20" s="1"/>
      <c r="O20" s="1"/>
      <c r="P20" s="1"/>
      <c r="Q20" s="1"/>
      <c r="R20" s="1"/>
      <c r="S20" s="1">
        <v>44571021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2">
        <v>52</v>
      </c>
      <c r="B22" s="2">
        <f aca="true" t="shared" si="7" ref="B22:G22">B342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>
        <f t="shared" si="7"/>
      </c>
      <c r="G22" s="2" t="str">
        <f t="shared" si="7"/>
        <v>КЛ-1 кВ от РУ-0,4 кВ ТП-858 ф.3.3 до  муфты М1</v>
      </c>
      <c r="H22" s="2"/>
      <c r="I22" s="2"/>
      <c r="J22" s="2"/>
      <c r="K22" s="2"/>
      <c r="L22" s="2"/>
      <c r="M22" s="2"/>
      <c r="N22" s="2"/>
      <c r="O22" s="2">
        <f aca="true" t="shared" si="8" ref="O22:AT22">O342</f>
        <v>73612.93</v>
      </c>
      <c r="P22" s="2">
        <f t="shared" si="8"/>
        <v>46558.47</v>
      </c>
      <c r="Q22" s="2">
        <f t="shared" si="8"/>
        <v>25337.97</v>
      </c>
      <c r="R22" s="2">
        <f t="shared" si="8"/>
        <v>486.04</v>
      </c>
      <c r="S22" s="2">
        <f t="shared" si="8"/>
        <v>1716.49</v>
      </c>
      <c r="T22" s="2">
        <f t="shared" si="8"/>
        <v>0</v>
      </c>
      <c r="U22" s="2">
        <f t="shared" si="8"/>
        <v>194.96256616</v>
      </c>
      <c r="V22" s="2">
        <f t="shared" si="8"/>
        <v>38.75990456</v>
      </c>
      <c r="W22" s="2">
        <f t="shared" si="8"/>
        <v>0</v>
      </c>
      <c r="X22" s="2">
        <f t="shared" si="8"/>
        <v>2219.04</v>
      </c>
      <c r="Y22" s="2">
        <f t="shared" si="8"/>
        <v>1177.39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77009.36</v>
      </c>
      <c r="AS22" s="2">
        <f t="shared" si="8"/>
        <v>31007.14</v>
      </c>
      <c r="AT22" s="2">
        <f t="shared" si="8"/>
        <v>45889.28</v>
      </c>
      <c r="AU22" s="2">
        <f aca="true" t="shared" si="9" ref="AU22:BZ22">AU342</f>
        <v>112.94</v>
      </c>
      <c r="AV22" s="2">
        <f t="shared" si="9"/>
        <v>46558.47</v>
      </c>
      <c r="AW22" s="2">
        <f t="shared" si="9"/>
        <v>46558.47</v>
      </c>
      <c r="AX22" s="2">
        <f t="shared" si="9"/>
        <v>0</v>
      </c>
      <c r="AY22" s="2">
        <f t="shared" si="9"/>
        <v>46558.47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297.59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aca="true" t="shared" si="10" ref="CA22:DF22">CA342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aca="true" t="shared" si="11" ref="DG22:EL22">DG342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aca="true" t="shared" si="12" ref="EM22:FR22">EM342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aca="true" t="shared" si="13" ref="FS22:GX22">FS342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ROW(A41)</f>
        <v>41</v>
      </c>
      <c r="E24" s="1"/>
      <c r="F24" s="1" t="s">
        <v>15</v>
      </c>
      <c r="G24" s="1" t="s">
        <v>16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44571021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2">
        <v>52</v>
      </c>
      <c r="B26" s="2">
        <f aca="true" t="shared" si="14" ref="B26:G26">B41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Земляные работы</v>
      </c>
      <c r="H26" s="2"/>
      <c r="I26" s="2"/>
      <c r="J26" s="2"/>
      <c r="K26" s="2"/>
      <c r="L26" s="2"/>
      <c r="M26" s="2"/>
      <c r="N26" s="2"/>
      <c r="O26" s="2">
        <f aca="true" t="shared" si="15" ref="O26:AT26">O41</f>
        <v>4501.24</v>
      </c>
      <c r="P26" s="2">
        <f t="shared" si="15"/>
        <v>3362.62</v>
      </c>
      <c r="Q26" s="2">
        <f t="shared" si="15"/>
        <v>487.66</v>
      </c>
      <c r="R26" s="2">
        <f t="shared" si="15"/>
        <v>33.56</v>
      </c>
      <c r="S26" s="2">
        <f t="shared" si="15"/>
        <v>650.96</v>
      </c>
      <c r="T26" s="2">
        <f t="shared" si="15"/>
        <v>0</v>
      </c>
      <c r="U26" s="2">
        <f t="shared" si="15"/>
        <v>83.3336184</v>
      </c>
      <c r="V26" s="2">
        <f t="shared" si="15"/>
        <v>3.2287983999999996</v>
      </c>
      <c r="W26" s="2">
        <f t="shared" si="15"/>
        <v>0</v>
      </c>
      <c r="X26" s="2">
        <f t="shared" si="15"/>
        <v>689.2</v>
      </c>
      <c r="Y26" s="2">
        <f t="shared" si="15"/>
        <v>430.57</v>
      </c>
      <c r="Z26" s="2">
        <f t="shared" si="15"/>
        <v>0</v>
      </c>
      <c r="AA26" s="2">
        <f t="shared" si="15"/>
        <v>0</v>
      </c>
      <c r="AB26" s="2">
        <f t="shared" si="15"/>
        <v>4501.24</v>
      </c>
      <c r="AC26" s="2">
        <f t="shared" si="15"/>
        <v>3362.62</v>
      </c>
      <c r="AD26" s="2">
        <f t="shared" si="15"/>
        <v>487.66</v>
      </c>
      <c r="AE26" s="2">
        <f t="shared" si="15"/>
        <v>33.56</v>
      </c>
      <c r="AF26" s="2">
        <f t="shared" si="15"/>
        <v>650.96</v>
      </c>
      <c r="AG26" s="2">
        <f t="shared" si="15"/>
        <v>0</v>
      </c>
      <c r="AH26" s="2">
        <f t="shared" si="15"/>
        <v>83.3336184</v>
      </c>
      <c r="AI26" s="2">
        <f t="shared" si="15"/>
        <v>3.2287983999999996</v>
      </c>
      <c r="AJ26" s="2">
        <f t="shared" si="15"/>
        <v>0</v>
      </c>
      <c r="AK26" s="2">
        <f t="shared" si="15"/>
        <v>689.2</v>
      </c>
      <c r="AL26" s="2">
        <f t="shared" si="15"/>
        <v>430.57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5621.01</v>
      </c>
      <c r="AS26" s="2">
        <f t="shared" si="15"/>
        <v>5621.01</v>
      </c>
      <c r="AT26" s="2">
        <f t="shared" si="15"/>
        <v>0</v>
      </c>
      <c r="AU26" s="2">
        <f aca="true" t="shared" si="16" ref="AU26:BZ26">AU41</f>
        <v>0</v>
      </c>
      <c r="AV26" s="2">
        <f t="shared" si="16"/>
        <v>3362.62</v>
      </c>
      <c r="AW26" s="2">
        <f t="shared" si="16"/>
        <v>3362.62</v>
      </c>
      <c r="AX26" s="2">
        <f t="shared" si="16"/>
        <v>0</v>
      </c>
      <c r="AY26" s="2">
        <f t="shared" si="16"/>
        <v>3362.62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201.61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aca="true" t="shared" si="17" ref="CA26:DF26">CA41</f>
        <v>5621.01</v>
      </c>
      <c r="CB26" s="2">
        <f t="shared" si="17"/>
        <v>5621.01</v>
      </c>
      <c r="CC26" s="2">
        <f t="shared" si="17"/>
        <v>0</v>
      </c>
      <c r="CD26" s="2">
        <f t="shared" si="17"/>
        <v>0</v>
      </c>
      <c r="CE26" s="2">
        <f t="shared" si="17"/>
        <v>3362.62</v>
      </c>
      <c r="CF26" s="2">
        <f t="shared" si="17"/>
        <v>3362.62</v>
      </c>
      <c r="CG26" s="2">
        <f t="shared" si="17"/>
        <v>0</v>
      </c>
      <c r="CH26" s="2">
        <f t="shared" si="17"/>
        <v>3362.62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201.61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aca="true" t="shared" si="18" ref="DG26:EL26">DG41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aca="true" t="shared" si="19" ref="EM26:FR26">EM41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aca="true" t="shared" si="20" ref="FS26:GX26">FS41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ht="12.75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17</v>
      </c>
      <c r="F28" t="s">
        <v>18</v>
      </c>
      <c r="G28" t="s">
        <v>19</v>
      </c>
      <c r="H28" t="s">
        <v>20</v>
      </c>
      <c r="I28">
        <f>ROUND(ROUND(1.5/100,4),7)</f>
        <v>0.015</v>
      </c>
      <c r="J28">
        <v>0</v>
      </c>
      <c r="K28">
        <f>ROUND(ROUND(1.5/100,4),7)</f>
        <v>0.015</v>
      </c>
      <c r="O28">
        <f aca="true" t="shared" si="21" ref="O28:O39">ROUND(CP28,2)</f>
        <v>43.93</v>
      </c>
      <c r="P28">
        <f aca="true" t="shared" si="22" ref="P28:P39">ROUND(CQ28*I28,2)</f>
        <v>0</v>
      </c>
      <c r="Q28">
        <f aca="true" t="shared" si="23" ref="Q28:Q39">ROUND(CR28*I28,2)</f>
        <v>0</v>
      </c>
      <c r="R28">
        <f aca="true" t="shared" si="24" ref="R28:R39">ROUND(CS28*I28,2)</f>
        <v>0</v>
      </c>
      <c r="S28">
        <f aca="true" t="shared" si="25" ref="S28:S39">ROUND(CT28*I28,2)</f>
        <v>43.93</v>
      </c>
      <c r="T28">
        <f aca="true" t="shared" si="26" ref="T28:T39">ROUND(CU28*I28,2)</f>
        <v>0</v>
      </c>
      <c r="U28">
        <f aca="true" t="shared" si="27" ref="U28:U39">CV28*I28</f>
        <v>5.795999999999999</v>
      </c>
      <c r="V28">
        <f aca="true" t="shared" si="28" ref="V28:V39">CW28*I28</f>
        <v>0</v>
      </c>
      <c r="W28">
        <f aca="true" t="shared" si="29" ref="W28:W39">ROUND(CX28*I28,2)</f>
        <v>0</v>
      </c>
      <c r="X28">
        <f aca="true" t="shared" si="30" ref="X28:X39">ROUND(CY28,2)</f>
        <v>39.1</v>
      </c>
      <c r="Y28">
        <f aca="true" t="shared" si="31" ref="Y28:Y39">ROUND(CZ28,2)</f>
        <v>17.57</v>
      </c>
      <c r="AA28">
        <v>44571020</v>
      </c>
      <c r="AB28">
        <f aca="true" t="shared" si="32" ref="AB28:AB39">ROUND((AC28+AD28+AF28),2)</f>
        <v>2928.91</v>
      </c>
      <c r="AC28">
        <f aca="true" t="shared" si="33" ref="AC28:AC39">ROUND((ES28),2)</f>
        <v>0</v>
      </c>
      <c r="AD28">
        <f aca="true" t="shared" si="34" ref="AD28:AD34">ROUND(((((ET28*ROUND((1.2*1.15),7)))-((EU28*ROUND((1.2*1.15),7))))+AE28),2)</f>
        <v>0</v>
      </c>
      <c r="AE28">
        <f aca="true" t="shared" si="35" ref="AE28:AF34">ROUND(((EU28*ROUND((1.2*1.15),7))),2)</f>
        <v>0</v>
      </c>
      <c r="AF28">
        <f t="shared" si="35"/>
        <v>2928.91</v>
      </c>
      <c r="AG28">
        <f aca="true" t="shared" si="36" ref="AG28:AG39">ROUND((AP28),2)</f>
        <v>0</v>
      </c>
      <c r="AH28">
        <f aca="true" t="shared" si="37" ref="AH28:AI34">((EW28*ROUND((1.2*1.15),7)))</f>
        <v>386.4</v>
      </c>
      <c r="AI28">
        <f t="shared" si="37"/>
        <v>0</v>
      </c>
      <c r="AJ28">
        <f aca="true" t="shared" si="38" ref="AJ28:AJ39">(AS28)</f>
        <v>0</v>
      </c>
      <c r="AK28">
        <v>2122.4</v>
      </c>
      <c r="AL28">
        <v>0</v>
      </c>
      <c r="AM28">
        <v>0</v>
      </c>
      <c r="AN28">
        <v>0</v>
      </c>
      <c r="AO28">
        <v>2122.4</v>
      </c>
      <c r="AP28">
        <v>0</v>
      </c>
      <c r="AQ28">
        <v>280</v>
      </c>
      <c r="AR28">
        <v>0</v>
      </c>
      <c r="AS28">
        <v>0</v>
      </c>
      <c r="AT28">
        <v>89</v>
      </c>
      <c r="AU28">
        <v>40</v>
      </c>
      <c r="AV28">
        <v>1</v>
      </c>
      <c r="AW28">
        <v>1</v>
      </c>
      <c r="AZ28">
        <v>1</v>
      </c>
      <c r="BA28">
        <v>28.93</v>
      </c>
      <c r="BB28">
        <v>1</v>
      </c>
      <c r="BC28">
        <v>1</v>
      </c>
      <c r="BH28">
        <v>0</v>
      </c>
      <c r="BI28">
        <v>1</v>
      </c>
      <c r="BJ28" t="s">
        <v>21</v>
      </c>
      <c r="BM28">
        <v>1003</v>
      </c>
      <c r="BN28">
        <v>0</v>
      </c>
      <c r="BP28">
        <v>0</v>
      </c>
      <c r="BQ28">
        <v>2</v>
      </c>
      <c r="BR28">
        <v>0</v>
      </c>
      <c r="BS28">
        <v>28.93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89</v>
      </c>
      <c r="CA28">
        <v>40</v>
      </c>
      <c r="CE28">
        <v>0</v>
      </c>
      <c r="CF28">
        <v>0</v>
      </c>
      <c r="CG28">
        <v>0</v>
      </c>
      <c r="CM28">
        <v>0</v>
      </c>
      <c r="CO28">
        <v>0</v>
      </c>
      <c r="CP28">
        <f aca="true" t="shared" si="39" ref="CP28:CP39">(P28+Q28+S28)</f>
        <v>43.93</v>
      </c>
      <c r="CQ28">
        <f aca="true" t="shared" si="40" ref="CQ28:CQ39">AC28*BC28</f>
        <v>0</v>
      </c>
      <c r="CR28">
        <f aca="true" t="shared" si="41" ref="CR28:CR39">AD28*BB28</f>
        <v>0</v>
      </c>
      <c r="CS28">
        <f aca="true" t="shared" si="42" ref="CS28:CS39">AE28</f>
        <v>0</v>
      </c>
      <c r="CT28">
        <f aca="true" t="shared" si="43" ref="CT28:CT39">AF28</f>
        <v>2928.91</v>
      </c>
      <c r="CU28">
        <f aca="true" t="shared" si="44" ref="CU28:CU39">AG28</f>
        <v>0</v>
      </c>
      <c r="CV28">
        <f aca="true" t="shared" si="45" ref="CV28:CV39">AH28</f>
        <v>386.4</v>
      </c>
      <c r="CW28">
        <f aca="true" t="shared" si="46" ref="CW28:CW39">AI28</f>
        <v>0</v>
      </c>
      <c r="CX28">
        <f aca="true" t="shared" si="47" ref="CX28:CX39">AJ28</f>
        <v>0</v>
      </c>
      <c r="CY28">
        <f aca="true" t="shared" si="48" ref="CY28:CY39">(((S28+R28)*AT28)/100)</f>
        <v>39.0977</v>
      </c>
      <c r="CZ28">
        <f aca="true" t="shared" si="49" ref="CZ28:CZ39">(((S28+R28)*AU28)/100)</f>
        <v>17.572</v>
      </c>
      <c r="DE28" t="s">
        <v>22</v>
      </c>
      <c r="DF28" t="s">
        <v>22</v>
      </c>
      <c r="DG28" t="s">
        <v>22</v>
      </c>
      <c r="DI28" t="s">
        <v>22</v>
      </c>
      <c r="DJ28" t="s">
        <v>22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20</v>
      </c>
      <c r="DW28" t="s">
        <v>20</v>
      </c>
      <c r="DX28">
        <v>1</v>
      </c>
      <c r="EE28">
        <v>37976020</v>
      </c>
      <c r="EF28">
        <v>2</v>
      </c>
      <c r="EG28" t="s">
        <v>23</v>
      </c>
      <c r="EH28">
        <v>1</v>
      </c>
      <c r="EI28" t="s">
        <v>16</v>
      </c>
      <c r="EJ28">
        <v>1</v>
      </c>
      <c r="EK28">
        <v>1003</v>
      </c>
      <c r="EL28" t="s">
        <v>24</v>
      </c>
      <c r="EM28" t="s">
        <v>25</v>
      </c>
      <c r="EQ28">
        <v>0</v>
      </c>
      <c r="ER28">
        <v>2122.4</v>
      </c>
      <c r="ES28">
        <v>0</v>
      </c>
      <c r="ET28">
        <v>0</v>
      </c>
      <c r="EU28">
        <v>0</v>
      </c>
      <c r="EV28">
        <v>2122.4</v>
      </c>
      <c r="EW28">
        <v>280</v>
      </c>
      <c r="EX28">
        <v>0</v>
      </c>
      <c r="EY28">
        <v>0</v>
      </c>
      <c r="FQ28">
        <v>0</v>
      </c>
      <c r="FR28">
        <f aca="true" t="shared" si="50" ref="FR28:FR39">ROUND(IF(AND(BH28=3,BI28=3),P28,0),2)</f>
        <v>0</v>
      </c>
      <c r="FS28">
        <v>0</v>
      </c>
      <c r="FX28">
        <v>89</v>
      </c>
      <c r="FY28">
        <v>40</v>
      </c>
      <c r="GD28">
        <v>1</v>
      </c>
      <c r="GF28">
        <v>1288361675</v>
      </c>
      <c r="GG28">
        <v>2</v>
      </c>
      <c r="GH28">
        <v>1</v>
      </c>
      <c r="GI28">
        <v>4</v>
      </c>
      <c r="GJ28">
        <v>0</v>
      </c>
      <c r="GK28">
        <v>0</v>
      </c>
      <c r="GL28">
        <f aca="true" t="shared" si="51" ref="GL28:GL39">ROUND(IF(AND(BH28=3,BI28=3,FS28&lt;&gt;0),P28,0),2)</f>
        <v>0</v>
      </c>
      <c r="GM28">
        <f aca="true" t="shared" si="52" ref="GM28:GM39">ROUND(O28+X28+Y28,2)+GX28</f>
        <v>100.6</v>
      </c>
      <c r="GN28">
        <f aca="true" t="shared" si="53" ref="GN28:GN39">IF(OR(BI28=0,BI28=1),ROUND(O28+X28+Y28,2),0)</f>
        <v>100.6</v>
      </c>
      <c r="GO28">
        <f aca="true" t="shared" si="54" ref="GO28:GO39">IF(BI28=2,ROUND(O28+X28+Y28,2),0)</f>
        <v>0</v>
      </c>
      <c r="GP28">
        <f aca="true" t="shared" si="55" ref="GP28:GP39">IF(BI28=4,ROUND(O28+X28+Y28,2)+GX28,0)</f>
        <v>0</v>
      </c>
      <c r="GR28">
        <v>0</v>
      </c>
      <c r="GS28">
        <v>0</v>
      </c>
      <c r="GT28">
        <v>0</v>
      </c>
      <c r="GV28">
        <f aca="true" t="shared" si="56" ref="GV28:GV39">ROUND((GT28),2)</f>
        <v>0</v>
      </c>
      <c r="GW28">
        <v>1</v>
      </c>
      <c r="GX28">
        <f aca="true" t="shared" si="57" ref="GX28:GX39">ROUND(HC28*I28,2)</f>
        <v>0</v>
      </c>
      <c r="HA28">
        <v>0</v>
      </c>
      <c r="HB28">
        <v>0</v>
      </c>
      <c r="HC28">
        <f aca="true" t="shared" si="58" ref="HC28:HC39">GV28*GW28</f>
        <v>0</v>
      </c>
      <c r="HI28">
        <f aca="true" t="shared" si="59" ref="HI28:HI39">ROUND(R28*BS28,2)</f>
        <v>0</v>
      </c>
      <c r="HJ28">
        <f aca="true" t="shared" si="60" ref="HJ28:HJ39">ROUND(S28*BA28,2)</f>
        <v>1270.89</v>
      </c>
      <c r="HK28">
        <f aca="true" t="shared" si="61" ref="HK28:HK39">ROUND((((HJ28+HI28)*AT28)/100),2)</f>
        <v>1131.09</v>
      </c>
      <c r="HL28">
        <f aca="true" t="shared" si="62" ref="HL28:HL39">ROUND((((HJ28+HI28)*AU28)/100),2)</f>
        <v>508.36</v>
      </c>
      <c r="HN28" t="s">
        <v>26</v>
      </c>
      <c r="HO28" t="s">
        <v>27</v>
      </c>
      <c r="HP28" t="s">
        <v>24</v>
      </c>
      <c r="HQ28" t="s">
        <v>24</v>
      </c>
      <c r="IK28">
        <v>0</v>
      </c>
    </row>
    <row r="29" spans="1:245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28</v>
      </c>
      <c r="F29" t="s">
        <v>29</v>
      </c>
      <c r="G29" t="s">
        <v>30</v>
      </c>
      <c r="H29" t="s">
        <v>20</v>
      </c>
      <c r="I29">
        <f>ROUND(ROUND(1.5/100,4),7)</f>
        <v>0.015</v>
      </c>
      <c r="J29">
        <v>0</v>
      </c>
      <c r="K29">
        <f>ROUND(ROUND(1.5/100,4),7)</f>
        <v>0.015</v>
      </c>
      <c r="O29">
        <f t="shared" si="21"/>
        <v>13.35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13.35</v>
      </c>
      <c r="T29">
        <f t="shared" si="26"/>
        <v>0</v>
      </c>
      <c r="U29">
        <f t="shared" si="27"/>
        <v>1.83195</v>
      </c>
      <c r="V29">
        <f t="shared" si="28"/>
        <v>0</v>
      </c>
      <c r="W29">
        <f t="shared" si="29"/>
        <v>0</v>
      </c>
      <c r="X29">
        <f t="shared" si="30"/>
        <v>11.88</v>
      </c>
      <c r="Y29">
        <f t="shared" si="31"/>
        <v>5.34</v>
      </c>
      <c r="AA29">
        <v>44571020</v>
      </c>
      <c r="AB29">
        <f t="shared" si="32"/>
        <v>890.33</v>
      </c>
      <c r="AC29">
        <f t="shared" si="33"/>
        <v>0</v>
      </c>
      <c r="AD29">
        <f t="shared" si="34"/>
        <v>0</v>
      </c>
      <c r="AE29">
        <f t="shared" si="35"/>
        <v>0</v>
      </c>
      <c r="AF29">
        <f t="shared" si="35"/>
        <v>890.33</v>
      </c>
      <c r="AG29">
        <f t="shared" si="36"/>
        <v>0</v>
      </c>
      <c r="AH29">
        <f t="shared" si="37"/>
        <v>122.13</v>
      </c>
      <c r="AI29">
        <f t="shared" si="37"/>
        <v>0</v>
      </c>
      <c r="AJ29">
        <f t="shared" si="38"/>
        <v>0</v>
      </c>
      <c r="AK29">
        <v>645.17</v>
      </c>
      <c r="AL29">
        <v>0</v>
      </c>
      <c r="AM29">
        <v>0</v>
      </c>
      <c r="AN29">
        <v>0</v>
      </c>
      <c r="AO29">
        <v>645.17</v>
      </c>
      <c r="AP29">
        <v>0</v>
      </c>
      <c r="AQ29">
        <v>88.5</v>
      </c>
      <c r="AR29">
        <v>0</v>
      </c>
      <c r="AS29">
        <v>0</v>
      </c>
      <c r="AT29">
        <v>89</v>
      </c>
      <c r="AU29">
        <v>40</v>
      </c>
      <c r="AV29">
        <v>1</v>
      </c>
      <c r="AW29">
        <v>1</v>
      </c>
      <c r="AZ29">
        <v>1</v>
      </c>
      <c r="BA29">
        <v>28.93</v>
      </c>
      <c r="BB29">
        <v>1</v>
      </c>
      <c r="BC29">
        <v>1</v>
      </c>
      <c r="BH29">
        <v>0</v>
      </c>
      <c r="BI29">
        <v>1</v>
      </c>
      <c r="BJ29" t="s">
        <v>31</v>
      </c>
      <c r="BM29">
        <v>1003</v>
      </c>
      <c r="BN29">
        <v>0</v>
      </c>
      <c r="BP29">
        <v>0</v>
      </c>
      <c r="BQ29">
        <v>2</v>
      </c>
      <c r="BR29">
        <v>0</v>
      </c>
      <c r="BS29">
        <v>28.93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89</v>
      </c>
      <c r="CA29">
        <v>40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39"/>
        <v>13.35</v>
      </c>
      <c r="CQ29">
        <f t="shared" si="40"/>
        <v>0</v>
      </c>
      <c r="CR29">
        <f t="shared" si="41"/>
        <v>0</v>
      </c>
      <c r="CS29">
        <f t="shared" si="42"/>
        <v>0</v>
      </c>
      <c r="CT29">
        <f t="shared" si="43"/>
        <v>890.33</v>
      </c>
      <c r="CU29">
        <f t="shared" si="44"/>
        <v>0</v>
      </c>
      <c r="CV29">
        <f t="shared" si="45"/>
        <v>122.13</v>
      </c>
      <c r="CW29">
        <f t="shared" si="46"/>
        <v>0</v>
      </c>
      <c r="CX29">
        <f t="shared" si="47"/>
        <v>0</v>
      </c>
      <c r="CY29">
        <f t="shared" si="48"/>
        <v>11.881499999999999</v>
      </c>
      <c r="CZ29">
        <f t="shared" si="49"/>
        <v>5.34</v>
      </c>
      <c r="DE29" t="s">
        <v>22</v>
      </c>
      <c r="DF29" t="s">
        <v>22</v>
      </c>
      <c r="DG29" t="s">
        <v>22</v>
      </c>
      <c r="DI29" t="s">
        <v>22</v>
      </c>
      <c r="DJ29" t="s">
        <v>22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20</v>
      </c>
      <c r="DW29" t="s">
        <v>20</v>
      </c>
      <c r="DX29">
        <v>1</v>
      </c>
      <c r="EE29">
        <v>37976020</v>
      </c>
      <c r="EF29">
        <v>2</v>
      </c>
      <c r="EG29" t="s">
        <v>23</v>
      </c>
      <c r="EH29">
        <v>1</v>
      </c>
      <c r="EI29" t="s">
        <v>16</v>
      </c>
      <c r="EJ29">
        <v>1</v>
      </c>
      <c r="EK29">
        <v>1003</v>
      </c>
      <c r="EL29" t="s">
        <v>24</v>
      </c>
      <c r="EM29" t="s">
        <v>25</v>
      </c>
      <c r="EQ29">
        <v>0</v>
      </c>
      <c r="ER29">
        <v>645.17</v>
      </c>
      <c r="ES29">
        <v>0</v>
      </c>
      <c r="ET29">
        <v>0</v>
      </c>
      <c r="EU29">
        <v>0</v>
      </c>
      <c r="EV29">
        <v>645.17</v>
      </c>
      <c r="EW29">
        <v>88.5</v>
      </c>
      <c r="EX29">
        <v>0</v>
      </c>
      <c r="EY29">
        <v>0</v>
      </c>
      <c r="FQ29">
        <v>0</v>
      </c>
      <c r="FR29">
        <f t="shared" si="50"/>
        <v>0</v>
      </c>
      <c r="FS29">
        <v>0</v>
      </c>
      <c r="FX29">
        <v>89</v>
      </c>
      <c r="FY29">
        <v>40</v>
      </c>
      <c r="GD29">
        <v>1</v>
      </c>
      <c r="GF29">
        <v>-736900731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51"/>
        <v>0</v>
      </c>
      <c r="GM29">
        <f t="shared" si="52"/>
        <v>30.57</v>
      </c>
      <c r="GN29">
        <f t="shared" si="53"/>
        <v>30.57</v>
      </c>
      <c r="GO29">
        <f t="shared" si="54"/>
        <v>0</v>
      </c>
      <c r="GP29">
        <f t="shared" si="55"/>
        <v>0</v>
      </c>
      <c r="GR29">
        <v>0</v>
      </c>
      <c r="GS29">
        <v>0</v>
      </c>
      <c r="GT29">
        <v>0</v>
      </c>
      <c r="GV29">
        <f t="shared" si="56"/>
        <v>0</v>
      </c>
      <c r="GW29">
        <v>1</v>
      </c>
      <c r="GX29">
        <f t="shared" si="57"/>
        <v>0</v>
      </c>
      <c r="HA29">
        <v>0</v>
      </c>
      <c r="HB29">
        <v>0</v>
      </c>
      <c r="HC29">
        <f t="shared" si="58"/>
        <v>0</v>
      </c>
      <c r="HI29">
        <f t="shared" si="59"/>
        <v>0</v>
      </c>
      <c r="HJ29">
        <f t="shared" si="60"/>
        <v>386.22</v>
      </c>
      <c r="HK29">
        <f t="shared" si="61"/>
        <v>343.74</v>
      </c>
      <c r="HL29">
        <f t="shared" si="62"/>
        <v>154.49</v>
      </c>
      <c r="HN29" t="s">
        <v>26</v>
      </c>
      <c r="HO29" t="s">
        <v>27</v>
      </c>
      <c r="HP29" t="s">
        <v>24</v>
      </c>
      <c r="HQ29" t="s">
        <v>24</v>
      </c>
      <c r="IK29">
        <v>0</v>
      </c>
    </row>
    <row r="30" spans="1:245" ht="12.75">
      <c r="A30">
        <v>17</v>
      </c>
      <c r="B30">
        <v>1</v>
      </c>
      <c r="C30">
        <f>ROW(SmtRes!A7)</f>
        <v>7</v>
      </c>
      <c r="D30">
        <f>ROW(EtalonRes!A7)</f>
        <v>7</v>
      </c>
      <c r="E30" t="s">
        <v>32</v>
      </c>
      <c r="F30" t="s">
        <v>33</v>
      </c>
      <c r="G30" t="s">
        <v>34</v>
      </c>
      <c r="H30" t="s">
        <v>35</v>
      </c>
      <c r="I30">
        <f>ROUND(ROUND(14/1000,4),7)</f>
        <v>0.014</v>
      </c>
      <c r="J30">
        <v>0</v>
      </c>
      <c r="K30">
        <f>ROUND(ROUND(14/1000,4),7)</f>
        <v>0.014</v>
      </c>
      <c r="O30">
        <f t="shared" si="21"/>
        <v>92.63</v>
      </c>
      <c r="P30">
        <f t="shared" si="22"/>
        <v>0</v>
      </c>
      <c r="Q30">
        <f t="shared" si="23"/>
        <v>90.75</v>
      </c>
      <c r="R30">
        <f t="shared" si="24"/>
        <v>12.81</v>
      </c>
      <c r="S30">
        <f t="shared" si="25"/>
        <v>1.88</v>
      </c>
      <c r="T30">
        <f t="shared" si="26"/>
        <v>0</v>
      </c>
      <c r="U30">
        <f t="shared" si="27"/>
        <v>0.24845519999999996</v>
      </c>
      <c r="V30">
        <f t="shared" si="28"/>
        <v>1.1352432</v>
      </c>
      <c r="W30">
        <f t="shared" si="29"/>
        <v>0</v>
      </c>
      <c r="X30">
        <f t="shared" si="30"/>
        <v>13.51</v>
      </c>
      <c r="Y30">
        <f t="shared" si="31"/>
        <v>6.76</v>
      </c>
      <c r="AA30">
        <v>44571020</v>
      </c>
      <c r="AB30">
        <f t="shared" si="32"/>
        <v>6616.75</v>
      </c>
      <c r="AC30">
        <f t="shared" si="33"/>
        <v>0</v>
      </c>
      <c r="AD30">
        <f t="shared" si="34"/>
        <v>6482.23</v>
      </c>
      <c r="AE30">
        <f t="shared" si="35"/>
        <v>914.68</v>
      </c>
      <c r="AF30">
        <f t="shared" si="35"/>
        <v>134.52</v>
      </c>
      <c r="AG30">
        <f t="shared" si="36"/>
        <v>0</v>
      </c>
      <c r="AH30">
        <f t="shared" si="37"/>
        <v>17.746799999999997</v>
      </c>
      <c r="AI30">
        <f t="shared" si="37"/>
        <v>81.08879999999999</v>
      </c>
      <c r="AJ30">
        <f t="shared" si="38"/>
        <v>0</v>
      </c>
      <c r="AK30">
        <v>4794.75</v>
      </c>
      <c r="AL30">
        <v>0</v>
      </c>
      <c r="AM30">
        <v>4697.27</v>
      </c>
      <c r="AN30">
        <v>662.81</v>
      </c>
      <c r="AO30">
        <v>97.48</v>
      </c>
      <c r="AP30">
        <v>0</v>
      </c>
      <c r="AQ30">
        <v>12.86</v>
      </c>
      <c r="AR30">
        <v>58.76</v>
      </c>
      <c r="AS30">
        <v>0</v>
      </c>
      <c r="AT30">
        <v>92</v>
      </c>
      <c r="AU30">
        <v>46</v>
      </c>
      <c r="AV30">
        <v>1</v>
      </c>
      <c r="AW30">
        <v>1</v>
      </c>
      <c r="AZ30">
        <v>1</v>
      </c>
      <c r="BA30">
        <v>28.93</v>
      </c>
      <c r="BB30">
        <v>1</v>
      </c>
      <c r="BC30">
        <v>1</v>
      </c>
      <c r="BH30">
        <v>0</v>
      </c>
      <c r="BI30">
        <v>1</v>
      </c>
      <c r="BJ30" t="s">
        <v>36</v>
      </c>
      <c r="BM30">
        <v>1001</v>
      </c>
      <c r="BN30">
        <v>0</v>
      </c>
      <c r="BP30">
        <v>0</v>
      </c>
      <c r="BQ30">
        <v>2</v>
      </c>
      <c r="BR30">
        <v>0</v>
      </c>
      <c r="BS30">
        <v>28.93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92</v>
      </c>
      <c r="CA30">
        <v>46</v>
      </c>
      <c r="CE30">
        <v>0</v>
      </c>
      <c r="CF30">
        <v>0</v>
      </c>
      <c r="CG30">
        <v>0</v>
      </c>
      <c r="CM30">
        <v>0</v>
      </c>
      <c r="CO30">
        <v>0</v>
      </c>
      <c r="CP30">
        <f t="shared" si="39"/>
        <v>92.63</v>
      </c>
      <c r="CQ30">
        <f t="shared" si="40"/>
        <v>0</v>
      </c>
      <c r="CR30">
        <f t="shared" si="41"/>
        <v>6482.23</v>
      </c>
      <c r="CS30">
        <f t="shared" si="42"/>
        <v>914.68</v>
      </c>
      <c r="CT30">
        <f t="shared" si="43"/>
        <v>134.52</v>
      </c>
      <c r="CU30">
        <f t="shared" si="44"/>
        <v>0</v>
      </c>
      <c r="CV30">
        <f t="shared" si="45"/>
        <v>17.746799999999997</v>
      </c>
      <c r="CW30">
        <f t="shared" si="46"/>
        <v>81.08879999999999</v>
      </c>
      <c r="CX30">
        <f t="shared" si="47"/>
        <v>0</v>
      </c>
      <c r="CY30">
        <f t="shared" si="48"/>
        <v>13.514800000000001</v>
      </c>
      <c r="CZ30">
        <f t="shared" si="49"/>
        <v>6.7574000000000005</v>
      </c>
      <c r="DE30" t="s">
        <v>22</v>
      </c>
      <c r="DF30" t="s">
        <v>22</v>
      </c>
      <c r="DG30" t="s">
        <v>22</v>
      </c>
      <c r="DI30" t="s">
        <v>22</v>
      </c>
      <c r="DJ30" t="s">
        <v>22</v>
      </c>
      <c r="DN30">
        <v>0</v>
      </c>
      <c r="DO30">
        <v>0</v>
      </c>
      <c r="DP30">
        <v>1</v>
      </c>
      <c r="DQ30">
        <v>1</v>
      </c>
      <c r="DU30">
        <v>1007</v>
      </c>
      <c r="DV30" t="s">
        <v>35</v>
      </c>
      <c r="DW30" t="s">
        <v>35</v>
      </c>
      <c r="DX30">
        <v>1000</v>
      </c>
      <c r="EE30">
        <v>37976018</v>
      </c>
      <c r="EF30">
        <v>2</v>
      </c>
      <c r="EG30" t="s">
        <v>23</v>
      </c>
      <c r="EH30">
        <v>1</v>
      </c>
      <c r="EI30" t="s">
        <v>16</v>
      </c>
      <c r="EJ30">
        <v>1</v>
      </c>
      <c r="EK30">
        <v>1001</v>
      </c>
      <c r="EL30" t="s">
        <v>37</v>
      </c>
      <c r="EM30" t="s">
        <v>25</v>
      </c>
      <c r="EQ30">
        <v>0</v>
      </c>
      <c r="ER30">
        <v>4794.75</v>
      </c>
      <c r="ES30">
        <v>0</v>
      </c>
      <c r="ET30">
        <v>4697.27</v>
      </c>
      <c r="EU30">
        <v>662.81</v>
      </c>
      <c r="EV30">
        <v>97.48</v>
      </c>
      <c r="EW30">
        <v>12.86</v>
      </c>
      <c r="EX30">
        <v>58.76</v>
      </c>
      <c r="EY30">
        <v>0</v>
      </c>
      <c r="FQ30">
        <v>0</v>
      </c>
      <c r="FR30">
        <f t="shared" si="50"/>
        <v>0</v>
      </c>
      <c r="FS30">
        <v>0</v>
      </c>
      <c r="FX30">
        <v>92</v>
      </c>
      <c r="FY30">
        <v>46</v>
      </c>
      <c r="GD30">
        <v>1</v>
      </c>
      <c r="GF30">
        <v>642932022</v>
      </c>
      <c r="GG30">
        <v>2</v>
      </c>
      <c r="GH30">
        <v>1</v>
      </c>
      <c r="GI30">
        <v>4</v>
      </c>
      <c r="GJ30">
        <v>0</v>
      </c>
      <c r="GK30">
        <v>0</v>
      </c>
      <c r="GL30">
        <f t="shared" si="51"/>
        <v>0</v>
      </c>
      <c r="GM30">
        <f t="shared" si="52"/>
        <v>112.9</v>
      </c>
      <c r="GN30">
        <f t="shared" si="53"/>
        <v>112.9</v>
      </c>
      <c r="GO30">
        <f t="shared" si="54"/>
        <v>0</v>
      </c>
      <c r="GP30">
        <f t="shared" si="55"/>
        <v>0</v>
      </c>
      <c r="GR30">
        <v>0</v>
      </c>
      <c r="GS30">
        <v>3</v>
      </c>
      <c r="GT30">
        <v>0</v>
      </c>
      <c r="GV30">
        <f t="shared" si="56"/>
        <v>0</v>
      </c>
      <c r="GW30">
        <v>1</v>
      </c>
      <c r="GX30">
        <f t="shared" si="57"/>
        <v>0</v>
      </c>
      <c r="HA30">
        <v>0</v>
      </c>
      <c r="HB30">
        <v>0</v>
      </c>
      <c r="HC30">
        <f t="shared" si="58"/>
        <v>0</v>
      </c>
      <c r="HI30">
        <f t="shared" si="59"/>
        <v>370.59</v>
      </c>
      <c r="HJ30">
        <f t="shared" si="60"/>
        <v>54.39</v>
      </c>
      <c r="HK30">
        <f t="shared" si="61"/>
        <v>390.98</v>
      </c>
      <c r="HL30">
        <f t="shared" si="62"/>
        <v>195.49</v>
      </c>
      <c r="HN30" t="s">
        <v>38</v>
      </c>
      <c r="HO30" t="s">
        <v>39</v>
      </c>
      <c r="HP30" t="s">
        <v>37</v>
      </c>
      <c r="HQ30" t="s">
        <v>37</v>
      </c>
      <c r="IK30">
        <v>0</v>
      </c>
    </row>
    <row r="31" spans="1:245" ht="12.75">
      <c r="A31">
        <v>17</v>
      </c>
      <c r="B31">
        <v>1</v>
      </c>
      <c r="C31">
        <f>ROW(SmtRes!A9)</f>
        <v>9</v>
      </c>
      <c r="D31">
        <f>ROW(EtalonRes!A9)</f>
        <v>9</v>
      </c>
      <c r="E31" t="s">
        <v>40</v>
      </c>
      <c r="F31" t="s">
        <v>41</v>
      </c>
      <c r="G31" t="s">
        <v>42</v>
      </c>
      <c r="H31" t="s">
        <v>20</v>
      </c>
      <c r="I31">
        <f>ROUND(ROUND(5.98/100,4),7)</f>
        <v>0.0598</v>
      </c>
      <c r="J31">
        <v>0</v>
      </c>
      <c r="K31">
        <f>ROUND(ROUND(5.98/100,4),7)</f>
        <v>0.0598</v>
      </c>
      <c r="O31">
        <f t="shared" si="21"/>
        <v>96.33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96.33</v>
      </c>
      <c r="T31">
        <f t="shared" si="26"/>
        <v>0</v>
      </c>
      <c r="U31">
        <f t="shared" si="27"/>
        <v>12.708695999999998</v>
      </c>
      <c r="V31">
        <f t="shared" si="28"/>
        <v>0</v>
      </c>
      <c r="W31">
        <f t="shared" si="29"/>
        <v>0</v>
      </c>
      <c r="X31">
        <f t="shared" si="30"/>
        <v>85.73</v>
      </c>
      <c r="Y31">
        <f t="shared" si="31"/>
        <v>38.53</v>
      </c>
      <c r="AA31">
        <v>44571020</v>
      </c>
      <c r="AB31">
        <f t="shared" si="32"/>
        <v>1610.9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5"/>
        <v>1610.9</v>
      </c>
      <c r="AG31">
        <f t="shared" si="36"/>
        <v>0</v>
      </c>
      <c r="AH31">
        <f t="shared" si="37"/>
        <v>212.51999999999998</v>
      </c>
      <c r="AI31">
        <f t="shared" si="37"/>
        <v>0</v>
      </c>
      <c r="AJ31">
        <f t="shared" si="38"/>
        <v>0</v>
      </c>
      <c r="AK31">
        <v>1167.32</v>
      </c>
      <c r="AL31">
        <v>0</v>
      </c>
      <c r="AM31">
        <v>0</v>
      </c>
      <c r="AN31">
        <v>0</v>
      </c>
      <c r="AO31">
        <v>1167.32</v>
      </c>
      <c r="AP31">
        <v>0</v>
      </c>
      <c r="AQ31">
        <v>154</v>
      </c>
      <c r="AR31">
        <v>0</v>
      </c>
      <c r="AS31">
        <v>0</v>
      </c>
      <c r="AT31">
        <v>89</v>
      </c>
      <c r="AU31">
        <v>40</v>
      </c>
      <c r="AV31">
        <v>1</v>
      </c>
      <c r="AW31">
        <v>1</v>
      </c>
      <c r="AZ31">
        <v>1</v>
      </c>
      <c r="BA31">
        <v>28.93</v>
      </c>
      <c r="BB31">
        <v>1</v>
      </c>
      <c r="BC31">
        <v>1</v>
      </c>
      <c r="BH31">
        <v>0</v>
      </c>
      <c r="BI31">
        <v>1</v>
      </c>
      <c r="BJ31" t="s">
        <v>43</v>
      </c>
      <c r="BM31">
        <v>1003</v>
      </c>
      <c r="BN31">
        <v>0</v>
      </c>
      <c r="BP31">
        <v>0</v>
      </c>
      <c r="BQ31">
        <v>2</v>
      </c>
      <c r="BR31">
        <v>0</v>
      </c>
      <c r="BS31">
        <v>28.93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89</v>
      </c>
      <c r="CA31">
        <v>40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39"/>
        <v>96.33</v>
      </c>
      <c r="CQ31">
        <f t="shared" si="40"/>
        <v>0</v>
      </c>
      <c r="CR31">
        <f t="shared" si="41"/>
        <v>0</v>
      </c>
      <c r="CS31">
        <f t="shared" si="42"/>
        <v>0</v>
      </c>
      <c r="CT31">
        <f t="shared" si="43"/>
        <v>1610.9</v>
      </c>
      <c r="CU31">
        <f t="shared" si="44"/>
        <v>0</v>
      </c>
      <c r="CV31">
        <f t="shared" si="45"/>
        <v>212.51999999999998</v>
      </c>
      <c r="CW31">
        <f t="shared" si="46"/>
        <v>0</v>
      </c>
      <c r="CX31">
        <f t="shared" si="47"/>
        <v>0</v>
      </c>
      <c r="CY31">
        <f t="shared" si="48"/>
        <v>85.73369999999998</v>
      </c>
      <c r="CZ31">
        <f t="shared" si="49"/>
        <v>38.532</v>
      </c>
      <c r="DE31" t="s">
        <v>22</v>
      </c>
      <c r="DF31" t="s">
        <v>22</v>
      </c>
      <c r="DG31" t="s">
        <v>22</v>
      </c>
      <c r="DI31" t="s">
        <v>22</v>
      </c>
      <c r="DJ31" t="s">
        <v>22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20</v>
      </c>
      <c r="DW31" t="s">
        <v>20</v>
      </c>
      <c r="DX31">
        <v>1</v>
      </c>
      <c r="EE31">
        <v>37976020</v>
      </c>
      <c r="EF31">
        <v>2</v>
      </c>
      <c r="EG31" t="s">
        <v>23</v>
      </c>
      <c r="EH31">
        <v>1</v>
      </c>
      <c r="EI31" t="s">
        <v>16</v>
      </c>
      <c r="EJ31">
        <v>1</v>
      </c>
      <c r="EK31">
        <v>1003</v>
      </c>
      <c r="EL31" t="s">
        <v>24</v>
      </c>
      <c r="EM31" t="s">
        <v>25</v>
      </c>
      <c r="EQ31">
        <v>131072</v>
      </c>
      <c r="ER31">
        <v>1167.32</v>
      </c>
      <c r="ES31">
        <v>0</v>
      </c>
      <c r="ET31">
        <v>0</v>
      </c>
      <c r="EU31">
        <v>0</v>
      </c>
      <c r="EV31">
        <v>1167.32</v>
      </c>
      <c r="EW31">
        <v>154</v>
      </c>
      <c r="EX31">
        <v>0</v>
      </c>
      <c r="EY31">
        <v>0</v>
      </c>
      <c r="FQ31">
        <v>0</v>
      </c>
      <c r="FR31">
        <f t="shared" si="50"/>
        <v>0</v>
      </c>
      <c r="FS31">
        <v>0</v>
      </c>
      <c r="FX31">
        <v>89</v>
      </c>
      <c r="FY31">
        <v>40</v>
      </c>
      <c r="GD31">
        <v>1</v>
      </c>
      <c r="GF31">
        <v>-289929723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51"/>
        <v>0</v>
      </c>
      <c r="GM31">
        <f t="shared" si="52"/>
        <v>220.59</v>
      </c>
      <c r="GN31">
        <f t="shared" si="53"/>
        <v>220.59</v>
      </c>
      <c r="GO31">
        <f t="shared" si="54"/>
        <v>0</v>
      </c>
      <c r="GP31">
        <f t="shared" si="55"/>
        <v>0</v>
      </c>
      <c r="GR31">
        <v>0</v>
      </c>
      <c r="GS31">
        <v>3</v>
      </c>
      <c r="GT31">
        <v>0</v>
      </c>
      <c r="GV31">
        <f t="shared" si="56"/>
        <v>0</v>
      </c>
      <c r="GW31">
        <v>1</v>
      </c>
      <c r="GX31">
        <f t="shared" si="57"/>
        <v>0</v>
      </c>
      <c r="HA31">
        <v>0</v>
      </c>
      <c r="HB31">
        <v>0</v>
      </c>
      <c r="HC31">
        <f t="shared" si="58"/>
        <v>0</v>
      </c>
      <c r="HI31">
        <f t="shared" si="59"/>
        <v>0</v>
      </c>
      <c r="HJ31">
        <f t="shared" si="60"/>
        <v>2786.83</v>
      </c>
      <c r="HK31">
        <f t="shared" si="61"/>
        <v>2480.28</v>
      </c>
      <c r="HL31">
        <f t="shared" si="62"/>
        <v>1114.73</v>
      </c>
      <c r="HN31" t="s">
        <v>26</v>
      </c>
      <c r="HO31" t="s">
        <v>27</v>
      </c>
      <c r="HP31" t="s">
        <v>24</v>
      </c>
      <c r="HQ31" t="s">
        <v>24</v>
      </c>
      <c r="IK31">
        <v>0</v>
      </c>
    </row>
    <row r="32" spans="1:245" ht="12.75">
      <c r="A32">
        <v>17</v>
      </c>
      <c r="B32">
        <v>1</v>
      </c>
      <c r="C32">
        <f>ROW(SmtRes!A11)</f>
        <v>11</v>
      </c>
      <c r="D32">
        <f>ROW(EtalonRes!A11)</f>
        <v>11</v>
      </c>
      <c r="E32" t="s">
        <v>44</v>
      </c>
      <c r="F32" t="s">
        <v>45</v>
      </c>
      <c r="G32" t="s">
        <v>46</v>
      </c>
      <c r="H32" t="s">
        <v>35</v>
      </c>
      <c r="I32">
        <f>ROUND(ROUND(12/1000,4),7)</f>
        <v>0.012</v>
      </c>
      <c r="J32">
        <v>0</v>
      </c>
      <c r="K32">
        <f>ROUND(ROUND(12/1000,4),7)</f>
        <v>0.012</v>
      </c>
      <c r="O32">
        <f t="shared" si="21"/>
        <v>9.4</v>
      </c>
      <c r="P32">
        <f t="shared" si="22"/>
        <v>0</v>
      </c>
      <c r="Q32">
        <f t="shared" si="23"/>
        <v>9.4</v>
      </c>
      <c r="R32">
        <f t="shared" si="24"/>
        <v>1.66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0.1468872</v>
      </c>
      <c r="W32">
        <f t="shared" si="29"/>
        <v>0</v>
      </c>
      <c r="X32">
        <f t="shared" si="30"/>
        <v>1.53</v>
      </c>
      <c r="Y32">
        <f t="shared" si="31"/>
        <v>0.76</v>
      </c>
      <c r="AA32">
        <v>44571020</v>
      </c>
      <c r="AB32">
        <f t="shared" si="32"/>
        <v>783.03</v>
      </c>
      <c r="AC32">
        <f t="shared" si="33"/>
        <v>0</v>
      </c>
      <c r="AD32">
        <f t="shared" si="34"/>
        <v>783.03</v>
      </c>
      <c r="AE32">
        <f t="shared" si="35"/>
        <v>138.07</v>
      </c>
      <c r="AF32">
        <f t="shared" si="35"/>
        <v>0</v>
      </c>
      <c r="AG32">
        <f t="shared" si="36"/>
        <v>0</v>
      </c>
      <c r="AH32">
        <f t="shared" si="37"/>
        <v>0</v>
      </c>
      <c r="AI32">
        <f t="shared" si="37"/>
        <v>12.240599999999999</v>
      </c>
      <c r="AJ32">
        <f t="shared" si="38"/>
        <v>0</v>
      </c>
      <c r="AK32">
        <v>567.41</v>
      </c>
      <c r="AL32">
        <v>0</v>
      </c>
      <c r="AM32">
        <v>567.41</v>
      </c>
      <c r="AN32">
        <v>100.05</v>
      </c>
      <c r="AO32">
        <v>0</v>
      </c>
      <c r="AP32">
        <v>0</v>
      </c>
      <c r="AQ32">
        <v>0</v>
      </c>
      <c r="AR32">
        <v>8.87</v>
      </c>
      <c r="AS32">
        <v>0</v>
      </c>
      <c r="AT32">
        <v>92</v>
      </c>
      <c r="AU32">
        <v>46</v>
      </c>
      <c r="AV32">
        <v>1</v>
      </c>
      <c r="AW32">
        <v>1</v>
      </c>
      <c r="AZ32">
        <v>1</v>
      </c>
      <c r="BA32">
        <v>28.93</v>
      </c>
      <c r="BB32">
        <v>1</v>
      </c>
      <c r="BC32">
        <v>1</v>
      </c>
      <c r="BH32">
        <v>0</v>
      </c>
      <c r="BI32">
        <v>1</v>
      </c>
      <c r="BJ32" t="s">
        <v>47</v>
      </c>
      <c r="BM32">
        <v>1001</v>
      </c>
      <c r="BN32">
        <v>0</v>
      </c>
      <c r="BP32">
        <v>0</v>
      </c>
      <c r="BQ32">
        <v>2</v>
      </c>
      <c r="BR32">
        <v>0</v>
      </c>
      <c r="BS32">
        <v>28.93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92</v>
      </c>
      <c r="CA32">
        <v>46</v>
      </c>
      <c r="CE32">
        <v>0</v>
      </c>
      <c r="CF32">
        <v>0</v>
      </c>
      <c r="CG32">
        <v>0</v>
      </c>
      <c r="CM32">
        <v>0</v>
      </c>
      <c r="CO32">
        <v>0</v>
      </c>
      <c r="CP32">
        <f t="shared" si="39"/>
        <v>9.4</v>
      </c>
      <c r="CQ32">
        <f t="shared" si="40"/>
        <v>0</v>
      </c>
      <c r="CR32">
        <f t="shared" si="41"/>
        <v>783.03</v>
      </c>
      <c r="CS32">
        <f t="shared" si="42"/>
        <v>138.07</v>
      </c>
      <c r="CT32">
        <f t="shared" si="43"/>
        <v>0</v>
      </c>
      <c r="CU32">
        <f t="shared" si="44"/>
        <v>0</v>
      </c>
      <c r="CV32">
        <f t="shared" si="45"/>
        <v>0</v>
      </c>
      <c r="CW32">
        <f t="shared" si="46"/>
        <v>12.240599999999999</v>
      </c>
      <c r="CX32">
        <f t="shared" si="47"/>
        <v>0</v>
      </c>
      <c r="CY32">
        <f t="shared" si="48"/>
        <v>1.5272</v>
      </c>
      <c r="CZ32">
        <f t="shared" si="49"/>
        <v>0.7636</v>
      </c>
      <c r="DE32" t="s">
        <v>22</v>
      </c>
      <c r="DF32" t="s">
        <v>22</v>
      </c>
      <c r="DG32" t="s">
        <v>22</v>
      </c>
      <c r="DI32" t="s">
        <v>22</v>
      </c>
      <c r="DJ32" t="s">
        <v>22</v>
      </c>
      <c r="DN32">
        <v>0</v>
      </c>
      <c r="DO32">
        <v>0</v>
      </c>
      <c r="DP32">
        <v>1</v>
      </c>
      <c r="DQ32">
        <v>1</v>
      </c>
      <c r="DU32">
        <v>1007</v>
      </c>
      <c r="DV32" t="s">
        <v>35</v>
      </c>
      <c r="DW32" t="s">
        <v>35</v>
      </c>
      <c r="DX32">
        <v>1000</v>
      </c>
      <c r="EE32">
        <v>37976018</v>
      </c>
      <c r="EF32">
        <v>2</v>
      </c>
      <c r="EG32" t="s">
        <v>23</v>
      </c>
      <c r="EH32">
        <v>1</v>
      </c>
      <c r="EI32" t="s">
        <v>16</v>
      </c>
      <c r="EJ32">
        <v>1</v>
      </c>
      <c r="EK32">
        <v>1001</v>
      </c>
      <c r="EL32" t="s">
        <v>37</v>
      </c>
      <c r="EM32" t="s">
        <v>25</v>
      </c>
      <c r="EQ32">
        <v>0</v>
      </c>
      <c r="ER32">
        <v>567.41</v>
      </c>
      <c r="ES32">
        <v>0</v>
      </c>
      <c r="ET32">
        <v>567.41</v>
      </c>
      <c r="EU32">
        <v>100.05</v>
      </c>
      <c r="EV32">
        <v>0</v>
      </c>
      <c r="EW32">
        <v>0</v>
      </c>
      <c r="EX32">
        <v>8.87</v>
      </c>
      <c r="EY32">
        <v>0</v>
      </c>
      <c r="FQ32">
        <v>0</v>
      </c>
      <c r="FR32">
        <f t="shared" si="50"/>
        <v>0</v>
      </c>
      <c r="FS32">
        <v>0</v>
      </c>
      <c r="FX32">
        <v>92</v>
      </c>
      <c r="FY32">
        <v>46</v>
      </c>
      <c r="GD32">
        <v>1</v>
      </c>
      <c r="GF32">
        <v>-611708745</v>
      </c>
      <c r="GG32">
        <v>2</v>
      </c>
      <c r="GH32">
        <v>1</v>
      </c>
      <c r="GI32">
        <v>4</v>
      </c>
      <c r="GJ32">
        <v>0</v>
      </c>
      <c r="GK32">
        <v>0</v>
      </c>
      <c r="GL32">
        <f t="shared" si="51"/>
        <v>0</v>
      </c>
      <c r="GM32">
        <f t="shared" si="52"/>
        <v>11.69</v>
      </c>
      <c r="GN32">
        <f t="shared" si="53"/>
        <v>11.69</v>
      </c>
      <c r="GO32">
        <f t="shared" si="54"/>
        <v>0</v>
      </c>
      <c r="GP32">
        <f t="shared" si="55"/>
        <v>0</v>
      </c>
      <c r="GR32">
        <v>0</v>
      </c>
      <c r="GS32">
        <v>3</v>
      </c>
      <c r="GT32">
        <v>0</v>
      </c>
      <c r="GV32">
        <f t="shared" si="56"/>
        <v>0</v>
      </c>
      <c r="GW32">
        <v>1</v>
      </c>
      <c r="GX32">
        <f t="shared" si="57"/>
        <v>0</v>
      </c>
      <c r="HA32">
        <v>0</v>
      </c>
      <c r="HB32">
        <v>0</v>
      </c>
      <c r="HC32">
        <f t="shared" si="58"/>
        <v>0</v>
      </c>
      <c r="HI32">
        <f t="shared" si="59"/>
        <v>48.02</v>
      </c>
      <c r="HJ32">
        <f t="shared" si="60"/>
        <v>0</v>
      </c>
      <c r="HK32">
        <f t="shared" si="61"/>
        <v>44.18</v>
      </c>
      <c r="HL32">
        <f t="shared" si="62"/>
        <v>22.09</v>
      </c>
      <c r="HN32" t="s">
        <v>38</v>
      </c>
      <c r="HO32" t="s">
        <v>39</v>
      </c>
      <c r="HP32" t="s">
        <v>37</v>
      </c>
      <c r="HQ32" t="s">
        <v>37</v>
      </c>
      <c r="IK32">
        <v>0</v>
      </c>
    </row>
    <row r="33" spans="1:245" ht="12.75">
      <c r="A33">
        <v>17</v>
      </c>
      <c r="B33">
        <v>1</v>
      </c>
      <c r="C33">
        <f>ROW(SmtRes!A13)</f>
        <v>13</v>
      </c>
      <c r="D33">
        <f>ROW(EtalonRes!A13)</f>
        <v>13</v>
      </c>
      <c r="E33" t="s">
        <v>48</v>
      </c>
      <c r="F33" t="s">
        <v>29</v>
      </c>
      <c r="G33" t="s">
        <v>30</v>
      </c>
      <c r="H33" t="s">
        <v>20</v>
      </c>
      <c r="I33">
        <f>ROUND(ROUND(1.32/100,4),7)</f>
        <v>0.0132</v>
      </c>
      <c r="J33">
        <v>0</v>
      </c>
      <c r="K33">
        <f>ROUND(ROUND(1.32/100,4),7)</f>
        <v>0.0132</v>
      </c>
      <c r="O33">
        <f t="shared" si="21"/>
        <v>11.75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11.75</v>
      </c>
      <c r="T33">
        <f t="shared" si="26"/>
        <v>0</v>
      </c>
      <c r="U33">
        <f t="shared" si="27"/>
        <v>1.6121159999999999</v>
      </c>
      <c r="V33">
        <f t="shared" si="28"/>
        <v>0</v>
      </c>
      <c r="W33">
        <f t="shared" si="29"/>
        <v>0</v>
      </c>
      <c r="X33">
        <f t="shared" si="30"/>
        <v>10.46</v>
      </c>
      <c r="Y33">
        <f t="shared" si="31"/>
        <v>4.7</v>
      </c>
      <c r="AA33">
        <v>44571020</v>
      </c>
      <c r="AB33">
        <f t="shared" si="32"/>
        <v>890.33</v>
      </c>
      <c r="AC33">
        <f t="shared" si="33"/>
        <v>0</v>
      </c>
      <c r="AD33">
        <f t="shared" si="34"/>
        <v>0</v>
      </c>
      <c r="AE33">
        <f t="shared" si="35"/>
        <v>0</v>
      </c>
      <c r="AF33">
        <f t="shared" si="35"/>
        <v>890.33</v>
      </c>
      <c r="AG33">
        <f t="shared" si="36"/>
        <v>0</v>
      </c>
      <c r="AH33">
        <f t="shared" si="37"/>
        <v>122.13</v>
      </c>
      <c r="AI33">
        <f t="shared" si="37"/>
        <v>0</v>
      </c>
      <c r="AJ33">
        <f t="shared" si="38"/>
        <v>0</v>
      </c>
      <c r="AK33">
        <v>645.17</v>
      </c>
      <c r="AL33">
        <v>0</v>
      </c>
      <c r="AM33">
        <v>0</v>
      </c>
      <c r="AN33">
        <v>0</v>
      </c>
      <c r="AO33">
        <v>645.17</v>
      </c>
      <c r="AP33">
        <v>0</v>
      </c>
      <c r="AQ33">
        <v>88.5</v>
      </c>
      <c r="AR33">
        <v>0</v>
      </c>
      <c r="AS33">
        <v>0</v>
      </c>
      <c r="AT33">
        <v>89</v>
      </c>
      <c r="AU33">
        <v>40</v>
      </c>
      <c r="AV33">
        <v>1</v>
      </c>
      <c r="AW33">
        <v>1</v>
      </c>
      <c r="AZ33">
        <v>1</v>
      </c>
      <c r="BA33">
        <v>28.93</v>
      </c>
      <c r="BB33">
        <v>1</v>
      </c>
      <c r="BC33">
        <v>1</v>
      </c>
      <c r="BH33">
        <v>0</v>
      </c>
      <c r="BI33">
        <v>1</v>
      </c>
      <c r="BJ33" t="s">
        <v>31</v>
      </c>
      <c r="BM33">
        <v>1003</v>
      </c>
      <c r="BN33">
        <v>0</v>
      </c>
      <c r="BP33">
        <v>0</v>
      </c>
      <c r="BQ33">
        <v>2</v>
      </c>
      <c r="BR33">
        <v>0</v>
      </c>
      <c r="BS33">
        <v>28.93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89</v>
      </c>
      <c r="CA33">
        <v>40</v>
      </c>
      <c r="CE33">
        <v>0</v>
      </c>
      <c r="CF33">
        <v>0</v>
      </c>
      <c r="CG33">
        <v>0</v>
      </c>
      <c r="CM33">
        <v>0</v>
      </c>
      <c r="CO33">
        <v>0</v>
      </c>
      <c r="CP33">
        <f t="shared" si="39"/>
        <v>11.75</v>
      </c>
      <c r="CQ33">
        <f t="shared" si="40"/>
        <v>0</v>
      </c>
      <c r="CR33">
        <f t="shared" si="41"/>
        <v>0</v>
      </c>
      <c r="CS33">
        <f t="shared" si="42"/>
        <v>0</v>
      </c>
      <c r="CT33">
        <f t="shared" si="43"/>
        <v>890.33</v>
      </c>
      <c r="CU33">
        <f t="shared" si="44"/>
        <v>0</v>
      </c>
      <c r="CV33">
        <f t="shared" si="45"/>
        <v>122.13</v>
      </c>
      <c r="CW33">
        <f t="shared" si="46"/>
        <v>0</v>
      </c>
      <c r="CX33">
        <f t="shared" si="47"/>
        <v>0</v>
      </c>
      <c r="CY33">
        <f t="shared" si="48"/>
        <v>10.4575</v>
      </c>
      <c r="CZ33">
        <f t="shared" si="49"/>
        <v>4.7</v>
      </c>
      <c r="DE33" t="s">
        <v>22</v>
      </c>
      <c r="DF33" t="s">
        <v>22</v>
      </c>
      <c r="DG33" t="s">
        <v>22</v>
      </c>
      <c r="DI33" t="s">
        <v>22</v>
      </c>
      <c r="DJ33" t="s">
        <v>22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20</v>
      </c>
      <c r="DW33" t="s">
        <v>20</v>
      </c>
      <c r="DX33">
        <v>1</v>
      </c>
      <c r="EE33">
        <v>37976020</v>
      </c>
      <c r="EF33">
        <v>2</v>
      </c>
      <c r="EG33" t="s">
        <v>23</v>
      </c>
      <c r="EH33">
        <v>1</v>
      </c>
      <c r="EI33" t="s">
        <v>16</v>
      </c>
      <c r="EJ33">
        <v>1</v>
      </c>
      <c r="EK33">
        <v>1003</v>
      </c>
      <c r="EL33" t="s">
        <v>24</v>
      </c>
      <c r="EM33" t="s">
        <v>25</v>
      </c>
      <c r="EQ33">
        <v>131072</v>
      </c>
      <c r="ER33">
        <v>645.17</v>
      </c>
      <c r="ES33">
        <v>0</v>
      </c>
      <c r="ET33">
        <v>0</v>
      </c>
      <c r="EU33">
        <v>0</v>
      </c>
      <c r="EV33">
        <v>645.17</v>
      </c>
      <c r="EW33">
        <v>88.5</v>
      </c>
      <c r="EX33">
        <v>0</v>
      </c>
      <c r="EY33">
        <v>0</v>
      </c>
      <c r="FQ33">
        <v>0</v>
      </c>
      <c r="FR33">
        <f t="shared" si="50"/>
        <v>0</v>
      </c>
      <c r="FS33">
        <v>0</v>
      </c>
      <c r="FX33">
        <v>89</v>
      </c>
      <c r="FY33">
        <v>40</v>
      </c>
      <c r="GD33">
        <v>1</v>
      </c>
      <c r="GF33">
        <v>-736900731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51"/>
        <v>0</v>
      </c>
      <c r="GM33">
        <f t="shared" si="52"/>
        <v>26.91</v>
      </c>
      <c r="GN33">
        <f t="shared" si="53"/>
        <v>26.91</v>
      </c>
      <c r="GO33">
        <f t="shared" si="54"/>
        <v>0</v>
      </c>
      <c r="GP33">
        <f t="shared" si="55"/>
        <v>0</v>
      </c>
      <c r="GR33">
        <v>0</v>
      </c>
      <c r="GS33">
        <v>3</v>
      </c>
      <c r="GT33">
        <v>0</v>
      </c>
      <c r="GV33">
        <f t="shared" si="56"/>
        <v>0</v>
      </c>
      <c r="GW33">
        <v>1</v>
      </c>
      <c r="GX33">
        <f t="shared" si="57"/>
        <v>0</v>
      </c>
      <c r="HA33">
        <v>0</v>
      </c>
      <c r="HB33">
        <v>0</v>
      </c>
      <c r="HC33">
        <f t="shared" si="58"/>
        <v>0</v>
      </c>
      <c r="HI33">
        <f t="shared" si="59"/>
        <v>0</v>
      </c>
      <c r="HJ33">
        <f t="shared" si="60"/>
        <v>339.93</v>
      </c>
      <c r="HK33">
        <f t="shared" si="61"/>
        <v>302.54</v>
      </c>
      <c r="HL33">
        <f t="shared" si="62"/>
        <v>135.97</v>
      </c>
      <c r="HN33" t="s">
        <v>26</v>
      </c>
      <c r="HO33" t="s">
        <v>27</v>
      </c>
      <c r="HP33" t="s">
        <v>24</v>
      </c>
      <c r="HQ33" t="s">
        <v>24</v>
      </c>
      <c r="IK33">
        <v>0</v>
      </c>
    </row>
    <row r="34" spans="1:245" ht="12.75">
      <c r="A34">
        <v>17</v>
      </c>
      <c r="B34">
        <v>1</v>
      </c>
      <c r="C34">
        <f>ROW(SmtRes!A17)</f>
        <v>17</v>
      </c>
      <c r="D34">
        <f>ROW(EtalonRes!A17)</f>
        <v>17</v>
      </c>
      <c r="E34" t="s">
        <v>49</v>
      </c>
      <c r="F34" t="s">
        <v>50</v>
      </c>
      <c r="G34" t="s">
        <v>51</v>
      </c>
      <c r="H34" t="s">
        <v>52</v>
      </c>
      <c r="I34">
        <f>ROUND(ROUND(12/100,4),7)</f>
        <v>0.12</v>
      </c>
      <c r="J34">
        <v>0</v>
      </c>
      <c r="K34">
        <f>ROUND(ROUND(12/100,4),7)</f>
        <v>0.12</v>
      </c>
      <c r="O34">
        <f t="shared" si="21"/>
        <v>71</v>
      </c>
      <c r="P34">
        <f t="shared" si="22"/>
        <v>0</v>
      </c>
      <c r="Q34">
        <f t="shared" si="23"/>
        <v>53.8</v>
      </c>
      <c r="R34">
        <f t="shared" si="24"/>
        <v>4.92</v>
      </c>
      <c r="S34">
        <f t="shared" si="25"/>
        <v>17.2</v>
      </c>
      <c r="T34">
        <f t="shared" si="26"/>
        <v>0</v>
      </c>
      <c r="U34">
        <f t="shared" si="27"/>
        <v>2.0749679999999997</v>
      </c>
      <c r="V34">
        <f t="shared" si="28"/>
        <v>0.503424</v>
      </c>
      <c r="W34">
        <f t="shared" si="29"/>
        <v>0</v>
      </c>
      <c r="X34">
        <f t="shared" si="30"/>
        <v>19.69</v>
      </c>
      <c r="Y34">
        <f t="shared" si="31"/>
        <v>9.07</v>
      </c>
      <c r="AA34">
        <v>44571020</v>
      </c>
      <c r="AB34">
        <f t="shared" si="32"/>
        <v>591.66</v>
      </c>
      <c r="AC34">
        <f t="shared" si="33"/>
        <v>0</v>
      </c>
      <c r="AD34">
        <f t="shared" si="34"/>
        <v>448.32</v>
      </c>
      <c r="AE34">
        <f t="shared" si="35"/>
        <v>41.03</v>
      </c>
      <c r="AF34">
        <f t="shared" si="35"/>
        <v>143.34</v>
      </c>
      <c r="AG34">
        <f t="shared" si="36"/>
        <v>0</v>
      </c>
      <c r="AH34">
        <f t="shared" si="37"/>
        <v>17.2914</v>
      </c>
      <c r="AI34">
        <f t="shared" si="37"/>
        <v>4.1952</v>
      </c>
      <c r="AJ34">
        <f t="shared" si="38"/>
        <v>0</v>
      </c>
      <c r="AK34">
        <v>428.74</v>
      </c>
      <c r="AL34">
        <v>0</v>
      </c>
      <c r="AM34">
        <v>324.87</v>
      </c>
      <c r="AN34">
        <v>29.73</v>
      </c>
      <c r="AO34">
        <v>103.87</v>
      </c>
      <c r="AP34">
        <v>0</v>
      </c>
      <c r="AQ34">
        <v>12.53</v>
      </c>
      <c r="AR34">
        <v>3.04</v>
      </c>
      <c r="AS34">
        <v>0</v>
      </c>
      <c r="AT34">
        <v>89</v>
      </c>
      <c r="AU34">
        <v>41</v>
      </c>
      <c r="AV34">
        <v>1</v>
      </c>
      <c r="AW34">
        <v>1</v>
      </c>
      <c r="AZ34">
        <v>1</v>
      </c>
      <c r="BA34">
        <v>28.93</v>
      </c>
      <c r="BB34">
        <v>1</v>
      </c>
      <c r="BC34">
        <v>1</v>
      </c>
      <c r="BH34">
        <v>0</v>
      </c>
      <c r="BI34">
        <v>1</v>
      </c>
      <c r="BJ34" t="s">
        <v>53</v>
      </c>
      <c r="BM34">
        <v>1006</v>
      </c>
      <c r="BN34">
        <v>0</v>
      </c>
      <c r="BP34">
        <v>0</v>
      </c>
      <c r="BQ34">
        <v>2</v>
      </c>
      <c r="BR34">
        <v>0</v>
      </c>
      <c r="BS34">
        <v>28.93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89</v>
      </c>
      <c r="CA34">
        <v>41</v>
      </c>
      <c r="CE34">
        <v>0</v>
      </c>
      <c r="CF34">
        <v>0</v>
      </c>
      <c r="CG34">
        <v>0</v>
      </c>
      <c r="CM34">
        <v>0</v>
      </c>
      <c r="CO34">
        <v>0</v>
      </c>
      <c r="CP34">
        <f t="shared" si="39"/>
        <v>71</v>
      </c>
      <c r="CQ34">
        <f t="shared" si="40"/>
        <v>0</v>
      </c>
      <c r="CR34">
        <f t="shared" si="41"/>
        <v>448.32</v>
      </c>
      <c r="CS34">
        <f t="shared" si="42"/>
        <v>41.03</v>
      </c>
      <c r="CT34">
        <f t="shared" si="43"/>
        <v>143.34</v>
      </c>
      <c r="CU34">
        <f t="shared" si="44"/>
        <v>0</v>
      </c>
      <c r="CV34">
        <f t="shared" si="45"/>
        <v>17.2914</v>
      </c>
      <c r="CW34">
        <f t="shared" si="46"/>
        <v>4.1952</v>
      </c>
      <c r="CX34">
        <f t="shared" si="47"/>
        <v>0</v>
      </c>
      <c r="CY34">
        <f t="shared" si="48"/>
        <v>19.686799999999998</v>
      </c>
      <c r="CZ34">
        <f t="shared" si="49"/>
        <v>9.069199999999999</v>
      </c>
      <c r="DE34" t="s">
        <v>22</v>
      </c>
      <c r="DF34" t="s">
        <v>22</v>
      </c>
      <c r="DG34" t="s">
        <v>22</v>
      </c>
      <c r="DI34" t="s">
        <v>22</v>
      </c>
      <c r="DJ34" t="s">
        <v>22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52</v>
      </c>
      <c r="DW34" t="s">
        <v>52</v>
      </c>
      <c r="DX34">
        <v>1</v>
      </c>
      <c r="EE34">
        <v>37976022</v>
      </c>
      <c r="EF34">
        <v>2</v>
      </c>
      <c r="EG34" t="s">
        <v>23</v>
      </c>
      <c r="EH34">
        <v>1</v>
      </c>
      <c r="EI34" t="s">
        <v>16</v>
      </c>
      <c r="EJ34">
        <v>1</v>
      </c>
      <c r="EK34">
        <v>1006</v>
      </c>
      <c r="EL34" t="s">
        <v>54</v>
      </c>
      <c r="EM34" t="s">
        <v>25</v>
      </c>
      <c r="EQ34">
        <v>0</v>
      </c>
      <c r="ER34">
        <v>428.74</v>
      </c>
      <c r="ES34">
        <v>0</v>
      </c>
      <c r="ET34">
        <v>324.87</v>
      </c>
      <c r="EU34">
        <v>29.73</v>
      </c>
      <c r="EV34">
        <v>103.87</v>
      </c>
      <c r="EW34">
        <v>12.53</v>
      </c>
      <c r="EX34">
        <v>3.04</v>
      </c>
      <c r="EY34">
        <v>0</v>
      </c>
      <c r="FQ34">
        <v>0</v>
      </c>
      <c r="FR34">
        <f t="shared" si="50"/>
        <v>0</v>
      </c>
      <c r="FS34">
        <v>0</v>
      </c>
      <c r="FX34">
        <v>89</v>
      </c>
      <c r="FY34">
        <v>41</v>
      </c>
      <c r="GD34">
        <v>1</v>
      </c>
      <c r="GF34">
        <v>1278685020</v>
      </c>
      <c r="GG34">
        <v>2</v>
      </c>
      <c r="GH34">
        <v>1</v>
      </c>
      <c r="GI34">
        <v>4</v>
      </c>
      <c r="GJ34">
        <v>0</v>
      </c>
      <c r="GK34">
        <v>0</v>
      </c>
      <c r="GL34">
        <f t="shared" si="51"/>
        <v>0</v>
      </c>
      <c r="GM34">
        <f t="shared" si="52"/>
        <v>99.76</v>
      </c>
      <c r="GN34">
        <f t="shared" si="53"/>
        <v>99.76</v>
      </c>
      <c r="GO34">
        <f t="shared" si="54"/>
        <v>0</v>
      </c>
      <c r="GP34">
        <f t="shared" si="55"/>
        <v>0</v>
      </c>
      <c r="GR34">
        <v>0</v>
      </c>
      <c r="GS34">
        <v>3</v>
      </c>
      <c r="GT34">
        <v>0</v>
      </c>
      <c r="GV34">
        <f t="shared" si="56"/>
        <v>0</v>
      </c>
      <c r="GW34">
        <v>1</v>
      </c>
      <c r="GX34">
        <f t="shared" si="57"/>
        <v>0</v>
      </c>
      <c r="HA34">
        <v>0</v>
      </c>
      <c r="HB34">
        <v>0</v>
      </c>
      <c r="HC34">
        <f t="shared" si="58"/>
        <v>0</v>
      </c>
      <c r="HI34">
        <f t="shared" si="59"/>
        <v>142.34</v>
      </c>
      <c r="HJ34">
        <f t="shared" si="60"/>
        <v>497.6</v>
      </c>
      <c r="HK34">
        <f t="shared" si="61"/>
        <v>569.55</v>
      </c>
      <c r="HL34">
        <f t="shared" si="62"/>
        <v>262.38</v>
      </c>
      <c r="HN34" t="s">
        <v>55</v>
      </c>
      <c r="HO34" t="s">
        <v>56</v>
      </c>
      <c r="HP34" t="s">
        <v>57</v>
      </c>
      <c r="HQ34" t="s">
        <v>57</v>
      </c>
      <c r="IK34">
        <v>0</v>
      </c>
    </row>
    <row r="35" spans="1:245" ht="12.75">
      <c r="A35">
        <v>17</v>
      </c>
      <c r="B35">
        <v>1</v>
      </c>
      <c r="C35">
        <f>ROW(SmtRes!A19)</f>
        <v>19</v>
      </c>
      <c r="D35">
        <f>ROW(EtalonRes!A19)</f>
        <v>19</v>
      </c>
      <c r="E35" t="s">
        <v>58</v>
      </c>
      <c r="F35" t="s">
        <v>59</v>
      </c>
      <c r="G35" t="s">
        <v>60</v>
      </c>
      <c r="H35" t="s">
        <v>61</v>
      </c>
      <c r="I35">
        <f>ROUND(ROUND(11.66,4),7)</f>
        <v>11.66</v>
      </c>
      <c r="J35">
        <v>0</v>
      </c>
      <c r="K35">
        <f>ROUND(ROUND(11.66,4),7)</f>
        <v>11.66</v>
      </c>
      <c r="O35">
        <f t="shared" si="21"/>
        <v>55.04</v>
      </c>
      <c r="P35">
        <f t="shared" si="22"/>
        <v>0</v>
      </c>
      <c r="Q35">
        <f t="shared" si="23"/>
        <v>55.04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0.33814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44571020</v>
      </c>
      <c r="AB35">
        <f t="shared" si="32"/>
        <v>4.72</v>
      </c>
      <c r="AC35">
        <f t="shared" si="33"/>
        <v>0</v>
      </c>
      <c r="AD35">
        <f>ROUND(((ET35)+ROUND(((EU35)*1.6),2)),2)</f>
        <v>4.72</v>
      </c>
      <c r="AE35">
        <f>ROUND(((EU35)+ROUND(((EU35)*1.6),2)),2)</f>
        <v>0</v>
      </c>
      <c r="AF35">
        <f>ROUND(((EV35)+ROUND(((EV35)*1.6),2)),2)</f>
        <v>0</v>
      </c>
      <c r="AG35">
        <f t="shared" si="36"/>
        <v>0</v>
      </c>
      <c r="AH35">
        <f>(EW35)</f>
        <v>0</v>
      </c>
      <c r="AI35">
        <f>(EX35)</f>
        <v>0.029</v>
      </c>
      <c r="AJ35">
        <f t="shared" si="38"/>
        <v>0</v>
      </c>
      <c r="AK35">
        <v>4.72</v>
      </c>
      <c r="AL35">
        <v>0</v>
      </c>
      <c r="AM35">
        <v>4.72</v>
      </c>
      <c r="AN35">
        <v>0</v>
      </c>
      <c r="AO35">
        <v>0</v>
      </c>
      <c r="AP35">
        <v>0</v>
      </c>
      <c r="AQ35">
        <v>0</v>
      </c>
      <c r="AR35">
        <v>0.029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28.93</v>
      </c>
      <c r="BB35">
        <v>1</v>
      </c>
      <c r="BC35">
        <v>1</v>
      </c>
      <c r="BH35">
        <v>0</v>
      </c>
      <c r="BI35">
        <v>1</v>
      </c>
      <c r="BJ35" t="s">
        <v>62</v>
      </c>
      <c r="BM35">
        <v>700004</v>
      </c>
      <c r="BN35">
        <v>0</v>
      </c>
      <c r="BP35">
        <v>0</v>
      </c>
      <c r="BQ35">
        <v>19</v>
      </c>
      <c r="BR35">
        <v>0</v>
      </c>
      <c r="BS35">
        <v>28.93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0</v>
      </c>
      <c r="CA35">
        <v>0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39"/>
        <v>55.04</v>
      </c>
      <c r="CQ35">
        <f t="shared" si="40"/>
        <v>0</v>
      </c>
      <c r="CR35">
        <f t="shared" si="41"/>
        <v>4.72</v>
      </c>
      <c r="CS35">
        <f t="shared" si="42"/>
        <v>0</v>
      </c>
      <c r="CT35">
        <f t="shared" si="43"/>
        <v>0</v>
      </c>
      <c r="CU35">
        <f t="shared" si="44"/>
        <v>0</v>
      </c>
      <c r="CV35">
        <f t="shared" si="45"/>
        <v>0</v>
      </c>
      <c r="CW35">
        <f t="shared" si="46"/>
        <v>0.029</v>
      </c>
      <c r="CX35">
        <f t="shared" si="47"/>
        <v>0</v>
      </c>
      <c r="CY35">
        <f t="shared" si="48"/>
        <v>0</v>
      </c>
      <c r="CZ35">
        <f t="shared" si="49"/>
        <v>0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61</v>
      </c>
      <c r="DW35" t="s">
        <v>61</v>
      </c>
      <c r="DX35">
        <v>1</v>
      </c>
      <c r="EE35">
        <v>37976241</v>
      </c>
      <c r="EF35">
        <v>19</v>
      </c>
      <c r="EG35" t="s">
        <v>63</v>
      </c>
      <c r="EH35">
        <v>106</v>
      </c>
      <c r="EI35" t="s">
        <v>63</v>
      </c>
      <c r="EJ35">
        <v>1</v>
      </c>
      <c r="EK35">
        <v>700004</v>
      </c>
      <c r="EL35" t="s">
        <v>63</v>
      </c>
      <c r="EM35" t="s">
        <v>64</v>
      </c>
      <c r="EQ35">
        <v>131072</v>
      </c>
      <c r="ER35">
        <v>4.72</v>
      </c>
      <c r="ES35">
        <v>0</v>
      </c>
      <c r="ET35">
        <v>4.72</v>
      </c>
      <c r="EU35">
        <v>0</v>
      </c>
      <c r="EV35">
        <v>0</v>
      </c>
      <c r="EW35">
        <v>0</v>
      </c>
      <c r="EX35">
        <v>0.029</v>
      </c>
      <c r="EY35">
        <v>0</v>
      </c>
      <c r="FQ35">
        <v>0</v>
      </c>
      <c r="FR35">
        <f t="shared" si="50"/>
        <v>0</v>
      </c>
      <c r="FS35">
        <v>0</v>
      </c>
      <c r="FX35">
        <v>0</v>
      </c>
      <c r="FY35">
        <v>0</v>
      </c>
      <c r="GD35">
        <v>1</v>
      </c>
      <c r="GF35">
        <v>-1030280966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51"/>
        <v>0</v>
      </c>
      <c r="GM35">
        <f t="shared" si="52"/>
        <v>55.04</v>
      </c>
      <c r="GN35">
        <f t="shared" si="53"/>
        <v>55.04</v>
      </c>
      <c r="GO35">
        <f t="shared" si="54"/>
        <v>0</v>
      </c>
      <c r="GP35">
        <f t="shared" si="55"/>
        <v>0</v>
      </c>
      <c r="GR35">
        <v>0</v>
      </c>
      <c r="GS35">
        <v>3</v>
      </c>
      <c r="GT35">
        <v>0</v>
      </c>
      <c r="GV35">
        <f t="shared" si="56"/>
        <v>0</v>
      </c>
      <c r="GW35">
        <v>1</v>
      </c>
      <c r="GX35">
        <f t="shared" si="57"/>
        <v>0</v>
      </c>
      <c r="HA35">
        <v>0</v>
      </c>
      <c r="HB35">
        <v>0</v>
      </c>
      <c r="HC35">
        <f t="shared" si="58"/>
        <v>0</v>
      </c>
      <c r="HD35">
        <f>GM35</f>
        <v>55.04</v>
      </c>
      <c r="HI35">
        <f t="shared" si="59"/>
        <v>0</v>
      </c>
      <c r="HJ35">
        <f t="shared" si="60"/>
        <v>0</v>
      </c>
      <c r="HK35">
        <f t="shared" si="61"/>
        <v>0</v>
      </c>
      <c r="HL35">
        <f t="shared" si="62"/>
        <v>0</v>
      </c>
      <c r="IK35">
        <v>0</v>
      </c>
    </row>
    <row r="36" spans="1:245" ht="12.75">
      <c r="A36">
        <v>17</v>
      </c>
      <c r="B36">
        <v>1</v>
      </c>
      <c r="E36" t="s">
        <v>65</v>
      </c>
      <c r="F36" t="s">
        <v>66</v>
      </c>
      <c r="G36" t="s">
        <v>67</v>
      </c>
      <c r="H36" t="s">
        <v>61</v>
      </c>
      <c r="I36">
        <f>ROUND(ROUND(11.66,4),7)</f>
        <v>11.66</v>
      </c>
      <c r="J36">
        <v>0</v>
      </c>
      <c r="K36">
        <f>ROUND(ROUND(11.66,4),7)</f>
        <v>11.66</v>
      </c>
      <c r="O36">
        <f t="shared" si="21"/>
        <v>146.57</v>
      </c>
      <c r="P36">
        <f t="shared" si="22"/>
        <v>0</v>
      </c>
      <c r="Q36">
        <f t="shared" si="23"/>
        <v>146.57</v>
      </c>
      <c r="R36">
        <f t="shared" si="24"/>
        <v>0</v>
      </c>
      <c r="S36">
        <f t="shared" si="25"/>
        <v>0</v>
      </c>
      <c r="T36">
        <f t="shared" si="26"/>
        <v>0</v>
      </c>
      <c r="U36">
        <f t="shared" si="27"/>
        <v>0</v>
      </c>
      <c r="V36">
        <f t="shared" si="28"/>
        <v>0</v>
      </c>
      <c r="W36">
        <f t="shared" si="29"/>
        <v>0</v>
      </c>
      <c r="X36">
        <f t="shared" si="30"/>
        <v>0</v>
      </c>
      <c r="Y36">
        <f t="shared" si="31"/>
        <v>0</v>
      </c>
      <c r="AA36">
        <v>44571020</v>
      </c>
      <c r="AB36">
        <f t="shared" si="32"/>
        <v>12.57</v>
      </c>
      <c r="AC36">
        <f t="shared" si="33"/>
        <v>0</v>
      </c>
      <c r="AD36">
        <f>ROUND(((ET36)+ROUND(((EU36)*1.85),2)),2)</f>
        <v>12.57</v>
      </c>
      <c r="AE36">
        <f>ROUND(((EU36)+ROUND(((EU36)*1.85),2)),2)</f>
        <v>0</v>
      </c>
      <c r="AF36">
        <f>ROUND(((EV36)+ROUND(((EV36)*1.85),2)),2)</f>
        <v>0</v>
      </c>
      <c r="AG36">
        <f t="shared" si="36"/>
        <v>0</v>
      </c>
      <c r="AH36">
        <f>(EW36)</f>
        <v>0</v>
      </c>
      <c r="AI36">
        <f>(EX36)</f>
        <v>0</v>
      </c>
      <c r="AJ36">
        <f t="shared" si="38"/>
        <v>0</v>
      </c>
      <c r="AK36">
        <v>12.57</v>
      </c>
      <c r="AL36">
        <v>0</v>
      </c>
      <c r="AM36">
        <v>12.57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1</v>
      </c>
      <c r="BA36">
        <v>28.93</v>
      </c>
      <c r="BB36">
        <v>1</v>
      </c>
      <c r="BC36">
        <v>1</v>
      </c>
      <c r="BH36">
        <v>0</v>
      </c>
      <c r="BI36">
        <v>1</v>
      </c>
      <c r="BJ36" t="s">
        <v>68</v>
      </c>
      <c r="BM36">
        <v>700001</v>
      </c>
      <c r="BN36">
        <v>0</v>
      </c>
      <c r="BP36">
        <v>0</v>
      </c>
      <c r="BQ36">
        <v>10</v>
      </c>
      <c r="BR36">
        <v>0</v>
      </c>
      <c r="BS36">
        <v>28.93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0</v>
      </c>
      <c r="CA36">
        <v>0</v>
      </c>
      <c r="CE36">
        <v>0</v>
      </c>
      <c r="CF36">
        <v>0</v>
      </c>
      <c r="CG36">
        <v>0</v>
      </c>
      <c r="CM36">
        <v>0</v>
      </c>
      <c r="CO36">
        <v>0</v>
      </c>
      <c r="CP36">
        <f t="shared" si="39"/>
        <v>146.57</v>
      </c>
      <c r="CQ36">
        <f t="shared" si="40"/>
        <v>0</v>
      </c>
      <c r="CR36">
        <f t="shared" si="41"/>
        <v>12.57</v>
      </c>
      <c r="CS36">
        <f t="shared" si="42"/>
        <v>0</v>
      </c>
      <c r="CT36">
        <f t="shared" si="43"/>
        <v>0</v>
      </c>
      <c r="CU36">
        <f t="shared" si="44"/>
        <v>0</v>
      </c>
      <c r="CV36">
        <f t="shared" si="45"/>
        <v>0</v>
      </c>
      <c r="CW36">
        <f t="shared" si="46"/>
        <v>0</v>
      </c>
      <c r="CX36">
        <f t="shared" si="47"/>
        <v>0</v>
      </c>
      <c r="CY36">
        <f t="shared" si="48"/>
        <v>0</v>
      </c>
      <c r="CZ36">
        <f t="shared" si="49"/>
        <v>0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61</v>
      </c>
      <c r="DW36" t="s">
        <v>61</v>
      </c>
      <c r="DX36">
        <v>1</v>
      </c>
      <c r="EE36">
        <v>37975982</v>
      </c>
      <c r="EF36">
        <v>10</v>
      </c>
      <c r="EG36" t="s">
        <v>69</v>
      </c>
      <c r="EH36">
        <v>0</v>
      </c>
      <c r="EJ36">
        <v>1</v>
      </c>
      <c r="EK36">
        <v>700001</v>
      </c>
      <c r="EL36" t="s">
        <v>70</v>
      </c>
      <c r="EM36" t="s">
        <v>71</v>
      </c>
      <c r="EQ36">
        <v>131072</v>
      </c>
      <c r="ER36">
        <v>12.57</v>
      </c>
      <c r="ES36">
        <v>0</v>
      </c>
      <c r="ET36">
        <v>12.57</v>
      </c>
      <c r="EU36">
        <v>0</v>
      </c>
      <c r="EV36">
        <v>0</v>
      </c>
      <c r="EW36">
        <v>0</v>
      </c>
      <c r="EX36">
        <v>0</v>
      </c>
      <c r="EY36">
        <v>0</v>
      </c>
      <c r="FQ36">
        <v>0</v>
      </c>
      <c r="FR36">
        <f t="shared" si="50"/>
        <v>0</v>
      </c>
      <c r="FS36">
        <v>0</v>
      </c>
      <c r="FX36">
        <v>0</v>
      </c>
      <c r="FY36">
        <v>0</v>
      </c>
      <c r="GD36">
        <v>1</v>
      </c>
      <c r="GF36">
        <v>-906863036</v>
      </c>
      <c r="GG36">
        <v>2</v>
      </c>
      <c r="GH36">
        <v>1</v>
      </c>
      <c r="GI36">
        <v>4</v>
      </c>
      <c r="GJ36">
        <v>0</v>
      </c>
      <c r="GK36">
        <v>0</v>
      </c>
      <c r="GL36">
        <f t="shared" si="51"/>
        <v>0</v>
      </c>
      <c r="GM36">
        <f t="shared" si="52"/>
        <v>146.57</v>
      </c>
      <c r="GN36">
        <f t="shared" si="53"/>
        <v>146.57</v>
      </c>
      <c r="GO36">
        <f t="shared" si="54"/>
        <v>0</v>
      </c>
      <c r="GP36">
        <f t="shared" si="55"/>
        <v>0</v>
      </c>
      <c r="GR36">
        <v>0</v>
      </c>
      <c r="GS36">
        <v>3</v>
      </c>
      <c r="GT36">
        <v>0</v>
      </c>
      <c r="GV36">
        <f t="shared" si="56"/>
        <v>0</v>
      </c>
      <c r="GW36">
        <v>1</v>
      </c>
      <c r="GX36">
        <f t="shared" si="57"/>
        <v>0</v>
      </c>
      <c r="HA36">
        <v>0</v>
      </c>
      <c r="HB36">
        <v>0</v>
      </c>
      <c r="HC36">
        <f t="shared" si="58"/>
        <v>0</v>
      </c>
      <c r="HD36">
        <f>GM36</f>
        <v>146.57</v>
      </c>
      <c r="HI36">
        <f t="shared" si="59"/>
        <v>0</v>
      </c>
      <c r="HJ36">
        <f t="shared" si="60"/>
        <v>0</v>
      </c>
      <c r="HK36">
        <f t="shared" si="61"/>
        <v>0</v>
      </c>
      <c r="HL36">
        <f t="shared" si="62"/>
        <v>0</v>
      </c>
      <c r="IK36">
        <v>0</v>
      </c>
    </row>
    <row r="37" spans="1:245" ht="12.75">
      <c r="A37">
        <v>17</v>
      </c>
      <c r="B37">
        <v>1</v>
      </c>
      <c r="C37">
        <f>ROW(SmtRes!A29)</f>
        <v>29</v>
      </c>
      <c r="D37">
        <f>ROW(EtalonRes!A29)</f>
        <v>29</v>
      </c>
      <c r="E37" t="s">
        <v>72</v>
      </c>
      <c r="F37" t="s">
        <v>73</v>
      </c>
      <c r="G37" t="s">
        <v>74</v>
      </c>
      <c r="H37" t="s">
        <v>75</v>
      </c>
      <c r="I37">
        <f>ROUND(ROUND(0.026,4),7)</f>
        <v>0.026</v>
      </c>
      <c r="J37">
        <v>0</v>
      </c>
      <c r="K37">
        <f>ROUND(ROUND(0.026,4),7)</f>
        <v>0.026</v>
      </c>
      <c r="O37">
        <f t="shared" si="21"/>
        <v>2183.37</v>
      </c>
      <c r="P37">
        <f t="shared" si="22"/>
        <v>1978.36</v>
      </c>
      <c r="Q37">
        <f t="shared" si="23"/>
        <v>132.1</v>
      </c>
      <c r="R37">
        <f t="shared" si="24"/>
        <v>14.17</v>
      </c>
      <c r="S37">
        <f t="shared" si="25"/>
        <v>72.91</v>
      </c>
      <c r="T37">
        <f t="shared" si="26"/>
        <v>0</v>
      </c>
      <c r="U37">
        <f t="shared" si="27"/>
        <v>8.074435199999998</v>
      </c>
      <c r="V37">
        <f t="shared" si="28"/>
        <v>1.1051039999999999</v>
      </c>
      <c r="W37">
        <f t="shared" si="29"/>
        <v>0</v>
      </c>
      <c r="X37">
        <f t="shared" si="30"/>
        <v>101.88</v>
      </c>
      <c r="Y37">
        <f t="shared" si="31"/>
        <v>64.44</v>
      </c>
      <c r="AA37">
        <v>44571020</v>
      </c>
      <c r="AB37">
        <f t="shared" si="32"/>
        <v>83975.85</v>
      </c>
      <c r="AC37">
        <f t="shared" si="33"/>
        <v>76090.88</v>
      </c>
      <c r="AD37">
        <f>ROUND(((((ET37*ROUND((1.2*1.15),7)))-((EU37*ROUND((1.2*1.15),7))))+AE37),2)</f>
        <v>5080.66</v>
      </c>
      <c r="AE37">
        <f>ROUND(((EU37*ROUND((1.2*1.15),7))),2)</f>
        <v>544.89</v>
      </c>
      <c r="AF37">
        <f>ROUND(((EV37*ROUND((1.2*1.15),7))),2)</f>
        <v>2804.31</v>
      </c>
      <c r="AG37">
        <f t="shared" si="36"/>
        <v>0</v>
      </c>
      <c r="AH37">
        <f>((EW37*ROUND((1.2*1.15),7)))</f>
        <v>310.55519999999996</v>
      </c>
      <c r="AI37">
        <f>((EX37*ROUND((1.2*1.15),7)))</f>
        <v>42.504</v>
      </c>
      <c r="AJ37">
        <f t="shared" si="38"/>
        <v>0</v>
      </c>
      <c r="AK37">
        <v>81804.63</v>
      </c>
      <c r="AL37">
        <v>76090.88</v>
      </c>
      <c r="AM37">
        <v>3681.64</v>
      </c>
      <c r="AN37">
        <v>394.85</v>
      </c>
      <c r="AO37">
        <v>2032.11</v>
      </c>
      <c r="AP37">
        <v>0</v>
      </c>
      <c r="AQ37">
        <v>225.04</v>
      </c>
      <c r="AR37">
        <v>30.8</v>
      </c>
      <c r="AS37">
        <v>0</v>
      </c>
      <c r="AT37">
        <v>117</v>
      </c>
      <c r="AU37">
        <v>74</v>
      </c>
      <c r="AV37">
        <v>1</v>
      </c>
      <c r="AW37">
        <v>1</v>
      </c>
      <c r="AZ37">
        <v>1</v>
      </c>
      <c r="BA37">
        <v>28.93</v>
      </c>
      <c r="BB37">
        <v>1</v>
      </c>
      <c r="BC37">
        <v>1</v>
      </c>
      <c r="BH37">
        <v>0</v>
      </c>
      <c r="BI37">
        <v>1</v>
      </c>
      <c r="BJ37" t="s">
        <v>76</v>
      </c>
      <c r="BM37">
        <v>22001</v>
      </c>
      <c r="BN37">
        <v>0</v>
      </c>
      <c r="BP37">
        <v>0</v>
      </c>
      <c r="BQ37">
        <v>2</v>
      </c>
      <c r="BR37">
        <v>0</v>
      </c>
      <c r="BS37">
        <v>28.93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117</v>
      </c>
      <c r="CA37">
        <v>74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39"/>
        <v>2183.37</v>
      </c>
      <c r="CQ37">
        <f t="shared" si="40"/>
        <v>76090.88</v>
      </c>
      <c r="CR37">
        <f t="shared" si="41"/>
        <v>5080.66</v>
      </c>
      <c r="CS37">
        <f t="shared" si="42"/>
        <v>544.89</v>
      </c>
      <c r="CT37">
        <f t="shared" si="43"/>
        <v>2804.31</v>
      </c>
      <c r="CU37">
        <f t="shared" si="44"/>
        <v>0</v>
      </c>
      <c r="CV37">
        <f t="shared" si="45"/>
        <v>310.55519999999996</v>
      </c>
      <c r="CW37">
        <f t="shared" si="46"/>
        <v>42.504</v>
      </c>
      <c r="CX37">
        <f t="shared" si="47"/>
        <v>0</v>
      </c>
      <c r="CY37">
        <f t="shared" si="48"/>
        <v>101.8836</v>
      </c>
      <c r="CZ37">
        <f t="shared" si="49"/>
        <v>64.4392</v>
      </c>
      <c r="DE37" t="s">
        <v>22</v>
      </c>
      <c r="DF37" t="s">
        <v>22</v>
      </c>
      <c r="DG37" t="s">
        <v>22</v>
      </c>
      <c r="DI37" t="s">
        <v>22</v>
      </c>
      <c r="DJ37" t="s">
        <v>22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75</v>
      </c>
      <c r="DW37" t="s">
        <v>75</v>
      </c>
      <c r="DX37">
        <v>1</v>
      </c>
      <c r="EE37">
        <v>37976077</v>
      </c>
      <c r="EF37">
        <v>2</v>
      </c>
      <c r="EG37" t="s">
        <v>23</v>
      </c>
      <c r="EH37">
        <v>18</v>
      </c>
      <c r="EI37" t="s">
        <v>77</v>
      </c>
      <c r="EJ37">
        <v>1</v>
      </c>
      <c r="EK37">
        <v>22001</v>
      </c>
      <c r="EL37" t="s">
        <v>77</v>
      </c>
      <c r="EM37" t="s">
        <v>78</v>
      </c>
      <c r="EQ37">
        <v>0</v>
      </c>
      <c r="ER37">
        <v>81804.63</v>
      </c>
      <c r="ES37">
        <v>76090.88</v>
      </c>
      <c r="ET37">
        <v>3681.64</v>
      </c>
      <c r="EU37">
        <v>394.85</v>
      </c>
      <c r="EV37">
        <v>2032.11</v>
      </c>
      <c r="EW37">
        <v>225.04</v>
      </c>
      <c r="EX37">
        <v>30.8</v>
      </c>
      <c r="EY37">
        <v>0</v>
      </c>
      <c r="FQ37">
        <v>0</v>
      </c>
      <c r="FR37">
        <f t="shared" si="50"/>
        <v>0</v>
      </c>
      <c r="FS37">
        <v>0</v>
      </c>
      <c r="FX37">
        <v>117</v>
      </c>
      <c r="FY37">
        <v>74</v>
      </c>
      <c r="GD37">
        <v>1</v>
      </c>
      <c r="GF37">
        <v>693491709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51"/>
        <v>0</v>
      </c>
      <c r="GM37">
        <f t="shared" si="52"/>
        <v>2349.69</v>
      </c>
      <c r="GN37">
        <f t="shared" si="53"/>
        <v>2349.69</v>
      </c>
      <c r="GO37">
        <f t="shared" si="54"/>
        <v>0</v>
      </c>
      <c r="GP37">
        <f t="shared" si="55"/>
        <v>0</v>
      </c>
      <c r="GR37">
        <v>0</v>
      </c>
      <c r="GS37">
        <v>3</v>
      </c>
      <c r="GT37">
        <v>0</v>
      </c>
      <c r="GV37">
        <f t="shared" si="56"/>
        <v>0</v>
      </c>
      <c r="GW37">
        <v>1</v>
      </c>
      <c r="GX37">
        <f t="shared" si="57"/>
        <v>0</v>
      </c>
      <c r="HA37">
        <v>0</v>
      </c>
      <c r="HB37">
        <v>0</v>
      </c>
      <c r="HC37">
        <f t="shared" si="58"/>
        <v>0</v>
      </c>
      <c r="HI37">
        <f t="shared" si="59"/>
        <v>409.94</v>
      </c>
      <c r="HJ37">
        <f t="shared" si="60"/>
        <v>2109.29</v>
      </c>
      <c r="HK37">
        <f t="shared" si="61"/>
        <v>2947.5</v>
      </c>
      <c r="HL37">
        <f t="shared" si="62"/>
        <v>1864.23</v>
      </c>
      <c r="HN37" t="s">
        <v>79</v>
      </c>
      <c r="HO37" t="s">
        <v>80</v>
      </c>
      <c r="HP37" t="s">
        <v>77</v>
      </c>
      <c r="HQ37" t="s">
        <v>77</v>
      </c>
      <c r="IK37">
        <v>0</v>
      </c>
    </row>
    <row r="38" spans="1:245" ht="12.75">
      <c r="A38">
        <v>17</v>
      </c>
      <c r="B38">
        <v>1</v>
      </c>
      <c r="C38">
        <f>ROW(SmtRes!A32)</f>
        <v>32</v>
      </c>
      <c r="D38">
        <f>ROW(EtalonRes!A32)</f>
        <v>32</v>
      </c>
      <c r="E38" t="s">
        <v>81</v>
      </c>
      <c r="F38" t="s">
        <v>82</v>
      </c>
      <c r="G38" t="s">
        <v>83</v>
      </c>
      <c r="H38" t="s">
        <v>84</v>
      </c>
      <c r="I38">
        <f>ROUND(ROUND(107/100,4),7)</f>
        <v>1.07</v>
      </c>
      <c r="J38">
        <v>0</v>
      </c>
      <c r="K38">
        <f>ROUND(ROUND(107/100,4),7)</f>
        <v>1.07</v>
      </c>
      <c r="O38">
        <f t="shared" si="21"/>
        <v>2532.36</v>
      </c>
      <c r="P38">
        <f t="shared" si="22"/>
        <v>2076.39</v>
      </c>
      <c r="Q38">
        <f t="shared" si="23"/>
        <v>0</v>
      </c>
      <c r="R38">
        <f t="shared" si="24"/>
        <v>0</v>
      </c>
      <c r="S38">
        <f t="shared" si="25"/>
        <v>455.97</v>
      </c>
      <c r="T38">
        <f t="shared" si="26"/>
        <v>0</v>
      </c>
      <c r="U38">
        <f t="shared" si="27"/>
        <v>59.064</v>
      </c>
      <c r="V38">
        <f t="shared" si="28"/>
        <v>0</v>
      </c>
      <c r="W38">
        <f t="shared" si="29"/>
        <v>0</v>
      </c>
      <c r="X38">
        <f t="shared" si="30"/>
        <v>469.65</v>
      </c>
      <c r="Y38">
        <f t="shared" si="31"/>
        <v>328.3</v>
      </c>
      <c r="AA38">
        <v>44571020</v>
      </c>
      <c r="AB38">
        <f t="shared" si="32"/>
        <v>2366.69</v>
      </c>
      <c r="AC38">
        <f t="shared" si="33"/>
        <v>1940.55</v>
      </c>
      <c r="AD38">
        <f>ROUND(((((ET38*ROUND((1.15*1.2),7)))-((EU38*ROUND((1.15*1.2),7))))+AE38),2)</f>
        <v>0</v>
      </c>
      <c r="AE38">
        <f>ROUND(((EU38*ROUND((1.15*1.2),7))),2)</f>
        <v>0</v>
      </c>
      <c r="AF38">
        <f>ROUND(((EV38*ROUND((1.15*1.2),7))),2)</f>
        <v>426.14</v>
      </c>
      <c r="AG38">
        <f t="shared" si="36"/>
        <v>0</v>
      </c>
      <c r="AH38">
        <f>((EW38*ROUND((1.15*1.2),7)))</f>
        <v>55.199999999999996</v>
      </c>
      <c r="AI38">
        <f>((EX38*ROUND((1.15*1.2),7)))</f>
        <v>0</v>
      </c>
      <c r="AJ38">
        <f t="shared" si="38"/>
        <v>0</v>
      </c>
      <c r="AK38">
        <v>2249.35</v>
      </c>
      <c r="AL38">
        <v>1940.55</v>
      </c>
      <c r="AM38">
        <v>0</v>
      </c>
      <c r="AN38">
        <v>0</v>
      </c>
      <c r="AO38">
        <v>308.8</v>
      </c>
      <c r="AP38">
        <v>0</v>
      </c>
      <c r="AQ38">
        <v>40</v>
      </c>
      <c r="AR38">
        <v>0</v>
      </c>
      <c r="AS38">
        <v>0</v>
      </c>
      <c r="AT38">
        <v>103</v>
      </c>
      <c r="AU38">
        <v>72</v>
      </c>
      <c r="AV38">
        <v>1</v>
      </c>
      <c r="AW38">
        <v>1</v>
      </c>
      <c r="AZ38">
        <v>1</v>
      </c>
      <c r="BA38">
        <v>28.93</v>
      </c>
      <c r="BB38">
        <v>1</v>
      </c>
      <c r="BC38">
        <v>1</v>
      </c>
      <c r="BH38">
        <v>0</v>
      </c>
      <c r="BI38">
        <v>1</v>
      </c>
      <c r="BJ38" t="s">
        <v>85</v>
      </c>
      <c r="BM38">
        <v>47001</v>
      </c>
      <c r="BN38">
        <v>0</v>
      </c>
      <c r="BP38">
        <v>0</v>
      </c>
      <c r="BQ38">
        <v>2</v>
      </c>
      <c r="BR38">
        <v>0</v>
      </c>
      <c r="BS38">
        <v>28.93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103</v>
      </c>
      <c r="CA38">
        <v>72</v>
      </c>
      <c r="CE38">
        <v>0</v>
      </c>
      <c r="CF38">
        <v>0</v>
      </c>
      <c r="CG38">
        <v>0</v>
      </c>
      <c r="CM38">
        <v>0</v>
      </c>
      <c r="CO38">
        <v>0</v>
      </c>
      <c r="CP38">
        <f t="shared" si="39"/>
        <v>2532.3599999999997</v>
      </c>
      <c r="CQ38">
        <f t="shared" si="40"/>
        <v>1940.55</v>
      </c>
      <c r="CR38">
        <f t="shared" si="41"/>
        <v>0</v>
      </c>
      <c r="CS38">
        <f t="shared" si="42"/>
        <v>0</v>
      </c>
      <c r="CT38">
        <f t="shared" si="43"/>
        <v>426.14</v>
      </c>
      <c r="CU38">
        <f t="shared" si="44"/>
        <v>0</v>
      </c>
      <c r="CV38">
        <f t="shared" si="45"/>
        <v>55.199999999999996</v>
      </c>
      <c r="CW38">
        <f t="shared" si="46"/>
        <v>0</v>
      </c>
      <c r="CX38">
        <f t="shared" si="47"/>
        <v>0</v>
      </c>
      <c r="CY38">
        <f t="shared" si="48"/>
        <v>469.64910000000003</v>
      </c>
      <c r="CZ38">
        <f t="shared" si="49"/>
        <v>328.2984</v>
      </c>
      <c r="DE38" t="s">
        <v>86</v>
      </c>
      <c r="DF38" t="s">
        <v>86</v>
      </c>
      <c r="DG38" t="s">
        <v>86</v>
      </c>
      <c r="DI38" t="s">
        <v>86</v>
      </c>
      <c r="DJ38" t="s">
        <v>86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84</v>
      </c>
      <c r="DW38" t="s">
        <v>84</v>
      </c>
      <c r="DX38">
        <v>100</v>
      </c>
      <c r="EE38">
        <v>37976123</v>
      </c>
      <c r="EF38">
        <v>2</v>
      </c>
      <c r="EG38" t="s">
        <v>23</v>
      </c>
      <c r="EH38">
        <v>41</v>
      </c>
      <c r="EI38" t="s">
        <v>87</v>
      </c>
      <c r="EJ38">
        <v>1</v>
      </c>
      <c r="EK38">
        <v>47001</v>
      </c>
      <c r="EL38" t="s">
        <v>87</v>
      </c>
      <c r="EM38" t="s">
        <v>88</v>
      </c>
      <c r="EQ38">
        <v>0</v>
      </c>
      <c r="ER38">
        <v>2249.35</v>
      </c>
      <c r="ES38">
        <v>1940.55</v>
      </c>
      <c r="ET38">
        <v>0</v>
      </c>
      <c r="EU38">
        <v>0</v>
      </c>
      <c r="EV38">
        <v>308.8</v>
      </c>
      <c r="EW38">
        <v>40</v>
      </c>
      <c r="EX38">
        <v>0</v>
      </c>
      <c r="EY38">
        <v>0</v>
      </c>
      <c r="FQ38">
        <v>0</v>
      </c>
      <c r="FR38">
        <f t="shared" si="50"/>
        <v>0</v>
      </c>
      <c r="FS38">
        <v>0</v>
      </c>
      <c r="FX38">
        <v>103</v>
      </c>
      <c r="FY38">
        <v>72</v>
      </c>
      <c r="GD38">
        <v>1</v>
      </c>
      <c r="GF38">
        <v>2105803338</v>
      </c>
      <c r="GG38">
        <v>2</v>
      </c>
      <c r="GH38">
        <v>1</v>
      </c>
      <c r="GI38">
        <v>4</v>
      </c>
      <c r="GJ38">
        <v>0</v>
      </c>
      <c r="GK38">
        <v>0</v>
      </c>
      <c r="GL38">
        <f t="shared" si="51"/>
        <v>0</v>
      </c>
      <c r="GM38">
        <f t="shared" si="52"/>
        <v>3330.31</v>
      </c>
      <c r="GN38">
        <f t="shared" si="53"/>
        <v>3330.31</v>
      </c>
      <c r="GO38">
        <f t="shared" si="54"/>
        <v>0</v>
      </c>
      <c r="GP38">
        <f t="shared" si="55"/>
        <v>0</v>
      </c>
      <c r="GR38">
        <v>0</v>
      </c>
      <c r="GS38">
        <v>3</v>
      </c>
      <c r="GT38">
        <v>0</v>
      </c>
      <c r="GV38">
        <f t="shared" si="56"/>
        <v>0</v>
      </c>
      <c r="GW38">
        <v>1</v>
      </c>
      <c r="GX38">
        <f t="shared" si="57"/>
        <v>0</v>
      </c>
      <c r="HA38">
        <v>0</v>
      </c>
      <c r="HB38">
        <v>0</v>
      </c>
      <c r="HC38">
        <f t="shared" si="58"/>
        <v>0</v>
      </c>
      <c r="HI38">
        <f t="shared" si="59"/>
        <v>0</v>
      </c>
      <c r="HJ38">
        <f t="shared" si="60"/>
        <v>13191.21</v>
      </c>
      <c r="HK38">
        <f t="shared" si="61"/>
        <v>13586.95</v>
      </c>
      <c r="HL38">
        <f t="shared" si="62"/>
        <v>9497.67</v>
      </c>
      <c r="HN38" t="s">
        <v>89</v>
      </c>
      <c r="HO38" t="s">
        <v>90</v>
      </c>
      <c r="HP38" t="s">
        <v>87</v>
      </c>
      <c r="HQ38" t="s">
        <v>87</v>
      </c>
      <c r="IK38">
        <v>0</v>
      </c>
    </row>
    <row r="39" spans="1:245" ht="12.75">
      <c r="A39">
        <v>17</v>
      </c>
      <c r="B39">
        <v>1</v>
      </c>
      <c r="C39">
        <f>ROW(SmtRes!A35)</f>
        <v>35</v>
      </c>
      <c r="D39">
        <f>ROW(EtalonRes!A35)</f>
        <v>35</v>
      </c>
      <c r="E39" t="s">
        <v>91</v>
      </c>
      <c r="F39" t="s">
        <v>92</v>
      </c>
      <c r="G39" t="s">
        <v>93</v>
      </c>
      <c r="H39" t="s">
        <v>84</v>
      </c>
      <c r="I39">
        <f>ROUND(ROUND(-107/100,4),7)</f>
        <v>-1.07</v>
      </c>
      <c r="J39">
        <v>0</v>
      </c>
      <c r="K39">
        <f>ROUND(ROUND(-107/100,4),7)</f>
        <v>-1.07</v>
      </c>
      <c r="O39">
        <f t="shared" si="21"/>
        <v>-754.49</v>
      </c>
      <c r="P39">
        <f t="shared" si="22"/>
        <v>-692.13</v>
      </c>
      <c r="Q39">
        <f t="shared" si="23"/>
        <v>0</v>
      </c>
      <c r="R39">
        <f t="shared" si="24"/>
        <v>0</v>
      </c>
      <c r="S39">
        <f t="shared" si="25"/>
        <v>-62.36</v>
      </c>
      <c r="T39">
        <f t="shared" si="26"/>
        <v>0</v>
      </c>
      <c r="U39">
        <f t="shared" si="27"/>
        <v>-8.077001999999998</v>
      </c>
      <c r="V39">
        <f t="shared" si="28"/>
        <v>0</v>
      </c>
      <c r="W39">
        <f t="shared" si="29"/>
        <v>0</v>
      </c>
      <c r="X39">
        <f t="shared" si="30"/>
        <v>-64.23</v>
      </c>
      <c r="Y39">
        <f t="shared" si="31"/>
        <v>-44.9</v>
      </c>
      <c r="AA39">
        <v>44571020</v>
      </c>
      <c r="AB39">
        <f t="shared" si="32"/>
        <v>705.13</v>
      </c>
      <c r="AC39">
        <f t="shared" si="33"/>
        <v>646.85</v>
      </c>
      <c r="AD39">
        <f>ROUND(((((ET39*ROUND((1.2*1.15),7)))-((EU39*ROUND((1.2*1.15),7))))+AE39),2)</f>
        <v>0</v>
      </c>
      <c r="AE39">
        <f>ROUND(((EU39*ROUND((1.2*1.15),7))),2)</f>
        <v>0</v>
      </c>
      <c r="AF39">
        <f>ROUND(((EV39*ROUND((1.2*1.15),7))),2)</f>
        <v>58.28</v>
      </c>
      <c r="AG39">
        <f t="shared" si="36"/>
        <v>0</v>
      </c>
      <c r="AH39">
        <f>((EW39*ROUND((1.2*1.15),7)))</f>
        <v>7.548599999999999</v>
      </c>
      <c r="AI39">
        <f>((EX39*ROUND((1.2*1.15),7)))</f>
        <v>0</v>
      </c>
      <c r="AJ39">
        <f t="shared" si="38"/>
        <v>0</v>
      </c>
      <c r="AK39">
        <v>689.08</v>
      </c>
      <c r="AL39">
        <v>646.85</v>
      </c>
      <c r="AM39">
        <v>0</v>
      </c>
      <c r="AN39">
        <v>0</v>
      </c>
      <c r="AO39">
        <v>42.23</v>
      </c>
      <c r="AP39">
        <v>0</v>
      </c>
      <c r="AQ39">
        <v>5.47</v>
      </c>
      <c r="AR39">
        <v>0</v>
      </c>
      <c r="AS39">
        <v>0</v>
      </c>
      <c r="AT39">
        <v>103</v>
      </c>
      <c r="AU39">
        <v>72</v>
      </c>
      <c r="AV39">
        <v>1</v>
      </c>
      <c r="AW39">
        <v>1</v>
      </c>
      <c r="AZ39">
        <v>1</v>
      </c>
      <c r="BA39">
        <v>28.93</v>
      </c>
      <c r="BB39">
        <v>1</v>
      </c>
      <c r="BC39">
        <v>1</v>
      </c>
      <c r="BH39">
        <v>0</v>
      </c>
      <c r="BI39">
        <v>1</v>
      </c>
      <c r="BJ39" t="s">
        <v>94</v>
      </c>
      <c r="BM39">
        <v>47001</v>
      </c>
      <c r="BN39">
        <v>0</v>
      </c>
      <c r="BP39">
        <v>0</v>
      </c>
      <c r="BQ39">
        <v>2</v>
      </c>
      <c r="BR39">
        <v>0</v>
      </c>
      <c r="BS39">
        <v>28.93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103</v>
      </c>
      <c r="CA39">
        <v>72</v>
      </c>
      <c r="CE39">
        <v>0</v>
      </c>
      <c r="CF39">
        <v>0</v>
      </c>
      <c r="CG39">
        <v>0</v>
      </c>
      <c r="CM39">
        <v>0</v>
      </c>
      <c r="CO39">
        <v>0</v>
      </c>
      <c r="CP39">
        <f t="shared" si="39"/>
        <v>-754.49</v>
      </c>
      <c r="CQ39">
        <f t="shared" si="40"/>
        <v>646.85</v>
      </c>
      <c r="CR39">
        <f t="shared" si="41"/>
        <v>0</v>
      </c>
      <c r="CS39">
        <f t="shared" si="42"/>
        <v>0</v>
      </c>
      <c r="CT39">
        <f t="shared" si="43"/>
        <v>58.28</v>
      </c>
      <c r="CU39">
        <f t="shared" si="44"/>
        <v>0</v>
      </c>
      <c r="CV39">
        <f t="shared" si="45"/>
        <v>7.548599999999999</v>
      </c>
      <c r="CW39">
        <f t="shared" si="46"/>
        <v>0</v>
      </c>
      <c r="CX39">
        <f t="shared" si="47"/>
        <v>0</v>
      </c>
      <c r="CY39">
        <f t="shared" si="48"/>
        <v>-64.2308</v>
      </c>
      <c r="CZ39">
        <f t="shared" si="49"/>
        <v>-44.8992</v>
      </c>
      <c r="DE39" t="s">
        <v>22</v>
      </c>
      <c r="DF39" t="s">
        <v>22</v>
      </c>
      <c r="DG39" t="s">
        <v>22</v>
      </c>
      <c r="DI39" t="s">
        <v>22</v>
      </c>
      <c r="DJ39" t="s">
        <v>22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84</v>
      </c>
      <c r="DW39" t="s">
        <v>84</v>
      </c>
      <c r="DX39">
        <v>100</v>
      </c>
      <c r="EE39">
        <v>37976123</v>
      </c>
      <c r="EF39">
        <v>2</v>
      </c>
      <c r="EG39" t="s">
        <v>23</v>
      </c>
      <c r="EH39">
        <v>41</v>
      </c>
      <c r="EI39" t="s">
        <v>87</v>
      </c>
      <c r="EJ39">
        <v>1</v>
      </c>
      <c r="EK39">
        <v>47001</v>
      </c>
      <c r="EL39" t="s">
        <v>87</v>
      </c>
      <c r="EM39" t="s">
        <v>88</v>
      </c>
      <c r="EQ39">
        <v>0</v>
      </c>
      <c r="ER39">
        <v>689.08</v>
      </c>
      <c r="ES39">
        <v>646.85</v>
      </c>
      <c r="ET39">
        <v>0</v>
      </c>
      <c r="EU39">
        <v>0</v>
      </c>
      <c r="EV39">
        <v>42.23</v>
      </c>
      <c r="EW39">
        <v>5.47</v>
      </c>
      <c r="EX39">
        <v>0</v>
      </c>
      <c r="EY39">
        <v>0</v>
      </c>
      <c r="FQ39">
        <v>0</v>
      </c>
      <c r="FR39">
        <f t="shared" si="50"/>
        <v>0</v>
      </c>
      <c r="FS39">
        <v>0</v>
      </c>
      <c r="FX39">
        <v>103</v>
      </c>
      <c r="FY39">
        <v>72</v>
      </c>
      <c r="GD39">
        <v>1</v>
      </c>
      <c r="GF39">
        <v>1242636498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51"/>
        <v>0</v>
      </c>
      <c r="GM39">
        <f t="shared" si="52"/>
        <v>-863.62</v>
      </c>
      <c r="GN39">
        <f t="shared" si="53"/>
        <v>-863.62</v>
      </c>
      <c r="GO39">
        <f t="shared" si="54"/>
        <v>0</v>
      </c>
      <c r="GP39">
        <f t="shared" si="55"/>
        <v>0</v>
      </c>
      <c r="GR39">
        <v>0</v>
      </c>
      <c r="GS39">
        <v>3</v>
      </c>
      <c r="GT39">
        <v>0</v>
      </c>
      <c r="GV39">
        <f t="shared" si="56"/>
        <v>0</v>
      </c>
      <c r="GW39">
        <v>1</v>
      </c>
      <c r="GX39">
        <f t="shared" si="57"/>
        <v>0</v>
      </c>
      <c r="HA39">
        <v>0</v>
      </c>
      <c r="HB39">
        <v>0</v>
      </c>
      <c r="HC39">
        <f t="shared" si="58"/>
        <v>0</v>
      </c>
      <c r="HI39">
        <f t="shared" si="59"/>
        <v>0</v>
      </c>
      <c r="HJ39">
        <f t="shared" si="60"/>
        <v>-1804.07</v>
      </c>
      <c r="HK39">
        <f t="shared" si="61"/>
        <v>-1858.19</v>
      </c>
      <c r="HL39">
        <f t="shared" si="62"/>
        <v>-1298.93</v>
      </c>
      <c r="HN39" t="s">
        <v>89</v>
      </c>
      <c r="HO39" t="s">
        <v>90</v>
      </c>
      <c r="HP39" t="s">
        <v>87</v>
      </c>
      <c r="HQ39" t="s">
        <v>87</v>
      </c>
      <c r="IK39">
        <v>0</v>
      </c>
    </row>
    <row r="41" spans="1:206" ht="12.75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Земляные работы</v>
      </c>
      <c r="H41" s="2">
        <v>0</v>
      </c>
      <c r="I41" s="2"/>
      <c r="J41" s="2"/>
      <c r="K41" s="2"/>
      <c r="L41" s="2"/>
      <c r="M41" s="2"/>
      <c r="N41" s="2"/>
      <c r="O41" s="2">
        <f aca="true" t="shared" si="63" ref="O41:T41">ROUND(AB41,2)</f>
        <v>4501.24</v>
      </c>
      <c r="P41" s="2">
        <f t="shared" si="63"/>
        <v>3362.62</v>
      </c>
      <c r="Q41" s="2">
        <f t="shared" si="63"/>
        <v>487.66</v>
      </c>
      <c r="R41" s="2">
        <f t="shared" si="63"/>
        <v>33.56</v>
      </c>
      <c r="S41" s="2">
        <f t="shared" si="63"/>
        <v>650.96</v>
      </c>
      <c r="T41" s="2">
        <f t="shared" si="63"/>
        <v>0</v>
      </c>
      <c r="U41" s="2">
        <f>AH41</f>
        <v>83.3336184</v>
      </c>
      <c r="V41" s="2">
        <f>AI41</f>
        <v>3.2287983999999996</v>
      </c>
      <c r="W41" s="2">
        <f>ROUND(AJ41,2)</f>
        <v>0</v>
      </c>
      <c r="X41" s="2">
        <f>ROUND(AK41,2)</f>
        <v>689.2</v>
      </c>
      <c r="Y41" s="2">
        <f>ROUND(AL41,2)</f>
        <v>430.57</v>
      </c>
      <c r="Z41" s="2"/>
      <c r="AA41" s="2"/>
      <c r="AB41" s="2">
        <f>ROUND(SUMIF(AA28:AA39,"=44571020",O28:O39),2)</f>
        <v>4501.24</v>
      </c>
      <c r="AC41" s="2">
        <f>ROUND(SUMIF(AA28:AA39,"=44571020",P28:P39),2)</f>
        <v>3362.62</v>
      </c>
      <c r="AD41" s="2">
        <f>ROUND(SUMIF(AA28:AA39,"=44571020",Q28:Q39),2)</f>
        <v>487.66</v>
      </c>
      <c r="AE41" s="2">
        <f>ROUND(SUMIF(AA28:AA39,"=44571020",R28:R39),2)</f>
        <v>33.56</v>
      </c>
      <c r="AF41" s="2">
        <f>ROUND(SUMIF(AA28:AA39,"=44571020",S28:S39),2)</f>
        <v>650.96</v>
      </c>
      <c r="AG41" s="2">
        <f>ROUND(SUMIF(AA28:AA39,"=44571020",T28:T39),2)</f>
        <v>0</v>
      </c>
      <c r="AH41" s="2">
        <f>SUMIF(AA28:AA39,"=44571020",U28:U39)</f>
        <v>83.3336184</v>
      </c>
      <c r="AI41" s="2">
        <f>SUMIF(AA28:AA39,"=44571020",V28:V39)</f>
        <v>3.2287983999999996</v>
      </c>
      <c r="AJ41" s="2">
        <f>ROUND(SUMIF(AA28:AA39,"=44571020",W28:W39),2)</f>
        <v>0</v>
      </c>
      <c r="AK41" s="2">
        <f>ROUND(SUMIF(AA28:AA39,"=44571020",X28:X39),2)</f>
        <v>689.2</v>
      </c>
      <c r="AL41" s="2">
        <f>ROUND(SUMIF(AA28:AA39,"=44571020",Y28:Y39),2)</f>
        <v>430.57</v>
      </c>
      <c r="AM41" s="2"/>
      <c r="AN41" s="2"/>
      <c r="AO41" s="2">
        <f aca="true" t="shared" si="64" ref="AO41:BD41">ROUND(BX41,2)</f>
        <v>0</v>
      </c>
      <c r="AP41" s="2">
        <f t="shared" si="64"/>
        <v>0</v>
      </c>
      <c r="AQ41" s="2">
        <f t="shared" si="64"/>
        <v>0</v>
      </c>
      <c r="AR41" s="2">
        <f t="shared" si="64"/>
        <v>5621.01</v>
      </c>
      <c r="AS41" s="2">
        <f t="shared" si="64"/>
        <v>5621.01</v>
      </c>
      <c r="AT41" s="2">
        <f t="shared" si="64"/>
        <v>0</v>
      </c>
      <c r="AU41" s="2">
        <f t="shared" si="64"/>
        <v>0</v>
      </c>
      <c r="AV41" s="2">
        <f t="shared" si="64"/>
        <v>3362.62</v>
      </c>
      <c r="AW41" s="2">
        <f t="shared" si="64"/>
        <v>3362.62</v>
      </c>
      <c r="AX41" s="2">
        <f t="shared" si="64"/>
        <v>0</v>
      </c>
      <c r="AY41" s="2">
        <f t="shared" si="64"/>
        <v>3362.62</v>
      </c>
      <c r="AZ41" s="2">
        <f t="shared" si="64"/>
        <v>0</v>
      </c>
      <c r="BA41" s="2">
        <f t="shared" si="64"/>
        <v>0</v>
      </c>
      <c r="BB41" s="2">
        <f t="shared" si="64"/>
        <v>0</v>
      </c>
      <c r="BC41" s="2">
        <f t="shared" si="64"/>
        <v>0</v>
      </c>
      <c r="BD41" s="2">
        <f t="shared" si="64"/>
        <v>201.61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f>ROUND(SUMIF(AA28:AA39,"=44571020",FQ28:FQ39),2)</f>
        <v>0</v>
      </c>
      <c r="BY41" s="2">
        <f>ROUND(SUMIF(AA28:AA39,"=44571020",FR28:FR39),2)</f>
        <v>0</v>
      </c>
      <c r="BZ41" s="2">
        <f>ROUND(SUMIF(AA28:AA39,"=44571020",GL28:GL39),2)</f>
        <v>0</v>
      </c>
      <c r="CA41" s="2">
        <f>ROUND(SUMIF(AA28:AA39,"=44571020",GM28:GM39),2)</f>
        <v>5621.01</v>
      </c>
      <c r="CB41" s="2">
        <f>ROUND(SUMIF(AA28:AA39,"=44571020",GN28:GN39),2)</f>
        <v>5621.01</v>
      </c>
      <c r="CC41" s="2">
        <f>ROUND(SUMIF(AA28:AA39,"=44571020",GO28:GO39),2)</f>
        <v>0</v>
      </c>
      <c r="CD41" s="2">
        <f>ROUND(SUMIF(AA28:AA39,"=44571020",GP28:GP39),2)</f>
        <v>0</v>
      </c>
      <c r="CE41" s="2">
        <f>AC41-BX41</f>
        <v>3362.62</v>
      </c>
      <c r="CF41" s="2">
        <f>AC41-BY41</f>
        <v>3362.62</v>
      </c>
      <c r="CG41" s="2">
        <f>BX41-BZ41</f>
        <v>0</v>
      </c>
      <c r="CH41" s="2">
        <f>AC41-BX41-BY41+BZ41</f>
        <v>3362.62</v>
      </c>
      <c r="CI41" s="2">
        <f>BY41-BZ41</f>
        <v>0</v>
      </c>
      <c r="CJ41" s="2">
        <f>ROUND(SUMIF(AA28:AA39,"=44571020",GX28:GX39),2)</f>
        <v>0</v>
      </c>
      <c r="CK41" s="2">
        <f>ROUND(SUMIF(AA28:AA39,"=44571020",GY28:GY39),2)</f>
        <v>0</v>
      </c>
      <c r="CL41" s="2">
        <f>ROUND(SUMIF(AA28:AA39,"=44571020",GZ28:GZ39),2)</f>
        <v>0</v>
      </c>
      <c r="CM41" s="2">
        <f>ROUND(SUMIF(AA28:AA39,"=44571020",HD28:HD39),2)</f>
        <v>201.61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>
        <v>0</v>
      </c>
    </row>
    <row r="43" spans="1:28" ht="12.75">
      <c r="A43" s="4">
        <v>50</v>
      </c>
      <c r="B43" s="4">
        <v>0</v>
      </c>
      <c r="C43" s="4">
        <v>0</v>
      </c>
      <c r="D43" s="4">
        <v>1</v>
      </c>
      <c r="E43" s="4">
        <v>0</v>
      </c>
      <c r="F43" s="4">
        <f>ROUND(Source!O41,O43)</f>
        <v>4501.24</v>
      </c>
      <c r="G43" s="4" t="s">
        <v>95</v>
      </c>
      <c r="H43" s="4" t="s">
        <v>96</v>
      </c>
      <c r="I43" s="4"/>
      <c r="J43" s="4"/>
      <c r="K43" s="4">
        <v>201</v>
      </c>
      <c r="L43" s="4">
        <v>1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>
        <v>4501.24</v>
      </c>
      <c r="X43" s="4">
        <v>1</v>
      </c>
      <c r="Y43" s="4">
        <v>39914.520000000004</v>
      </c>
      <c r="Z43" s="4"/>
      <c r="AA43" s="4"/>
      <c r="AB43" s="4"/>
    </row>
    <row r="44" spans="1:28" ht="12.75">
      <c r="A44" s="4">
        <v>50</v>
      </c>
      <c r="B44" s="4">
        <v>0</v>
      </c>
      <c r="C44" s="4">
        <v>0</v>
      </c>
      <c r="D44" s="4">
        <v>1</v>
      </c>
      <c r="E44" s="4">
        <v>202</v>
      </c>
      <c r="F44" s="4">
        <f>ROUND(Source!P41,O44)</f>
        <v>3362.62</v>
      </c>
      <c r="G44" s="4" t="s">
        <v>97</v>
      </c>
      <c r="H44" s="4" t="s">
        <v>98</v>
      </c>
      <c r="I44" s="4"/>
      <c r="J44" s="4"/>
      <c r="K44" s="4">
        <v>202</v>
      </c>
      <c r="L44" s="4">
        <v>2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>
        <v>3362.62</v>
      </c>
      <c r="X44" s="4">
        <v>1</v>
      </c>
      <c r="Y44" s="4">
        <v>0</v>
      </c>
      <c r="Z44" s="4"/>
      <c r="AA44" s="4"/>
      <c r="AB44" s="4"/>
    </row>
    <row r="45" spans="1:28" ht="12.75">
      <c r="A45" s="4">
        <v>50</v>
      </c>
      <c r="B45" s="4">
        <v>0</v>
      </c>
      <c r="C45" s="4">
        <v>0</v>
      </c>
      <c r="D45" s="4">
        <v>1</v>
      </c>
      <c r="E45" s="4">
        <v>222</v>
      </c>
      <c r="F45" s="4">
        <f>ROUND(Source!AO41,O45)</f>
        <v>0</v>
      </c>
      <c r="G45" s="4" t="s">
        <v>99</v>
      </c>
      <c r="H45" s="4" t="s">
        <v>100</v>
      </c>
      <c r="I45" s="4"/>
      <c r="J45" s="4"/>
      <c r="K45" s="4">
        <v>222</v>
      </c>
      <c r="L45" s="4">
        <v>3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>
        <v>0</v>
      </c>
      <c r="X45" s="4">
        <v>1</v>
      </c>
      <c r="Y45" s="4">
        <v>0</v>
      </c>
      <c r="Z45" s="4"/>
      <c r="AA45" s="4"/>
      <c r="AB45" s="4"/>
    </row>
    <row r="46" spans="1:28" ht="12.75">
      <c r="A46" s="4">
        <v>50</v>
      </c>
      <c r="B46" s="4">
        <v>0</v>
      </c>
      <c r="C46" s="4">
        <v>0</v>
      </c>
      <c r="D46" s="4">
        <v>1</v>
      </c>
      <c r="E46" s="4">
        <v>225</v>
      </c>
      <c r="F46" s="4">
        <f>ROUND(Source!AV41,O46)</f>
        <v>3362.62</v>
      </c>
      <c r="G46" s="4" t="s">
        <v>101</v>
      </c>
      <c r="H46" s="4" t="s">
        <v>102</v>
      </c>
      <c r="I46" s="4"/>
      <c r="J46" s="4"/>
      <c r="K46" s="4">
        <v>225</v>
      </c>
      <c r="L46" s="4">
        <v>4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>
        <v>3362.62</v>
      </c>
      <c r="X46" s="4">
        <v>1</v>
      </c>
      <c r="Y46" s="4">
        <v>0</v>
      </c>
      <c r="Z46" s="4"/>
      <c r="AA46" s="4"/>
      <c r="AB46" s="4"/>
    </row>
    <row r="47" spans="1:28" ht="12.75">
      <c r="A47" s="4">
        <v>50</v>
      </c>
      <c r="B47" s="4">
        <v>0</v>
      </c>
      <c r="C47" s="4">
        <v>0</v>
      </c>
      <c r="D47" s="4">
        <v>1</v>
      </c>
      <c r="E47" s="4">
        <v>226</v>
      </c>
      <c r="F47" s="4">
        <f>ROUND(Source!AW41,O47)</f>
        <v>3362.62</v>
      </c>
      <c r="G47" s="4" t="s">
        <v>103</v>
      </c>
      <c r="H47" s="4" t="s">
        <v>104</v>
      </c>
      <c r="I47" s="4"/>
      <c r="J47" s="4"/>
      <c r="K47" s="4">
        <v>226</v>
      </c>
      <c r="L47" s="4">
        <v>5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>
        <v>3362.62</v>
      </c>
      <c r="X47" s="4">
        <v>1</v>
      </c>
      <c r="Y47" s="4">
        <v>17317.49</v>
      </c>
      <c r="Z47" s="4"/>
      <c r="AA47" s="4"/>
      <c r="AB47" s="4"/>
    </row>
    <row r="48" spans="1:28" ht="12.75">
      <c r="A48" s="4">
        <v>50</v>
      </c>
      <c r="B48" s="4">
        <v>0</v>
      </c>
      <c r="C48" s="4">
        <v>0</v>
      </c>
      <c r="D48" s="4">
        <v>1</v>
      </c>
      <c r="E48" s="4">
        <v>227</v>
      </c>
      <c r="F48" s="4">
        <f>ROUND(Source!AX41,O48)</f>
        <v>0</v>
      </c>
      <c r="G48" s="4" t="s">
        <v>105</v>
      </c>
      <c r="H48" s="4" t="s">
        <v>106</v>
      </c>
      <c r="I48" s="4"/>
      <c r="J48" s="4"/>
      <c r="K48" s="4">
        <v>227</v>
      </c>
      <c r="L48" s="4">
        <v>6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>
        <v>0</v>
      </c>
      <c r="X48" s="4">
        <v>1</v>
      </c>
      <c r="Y48" s="4">
        <v>0</v>
      </c>
      <c r="Z48" s="4"/>
      <c r="AA48" s="4"/>
      <c r="AB48" s="4"/>
    </row>
    <row r="49" spans="1:28" ht="12.75">
      <c r="A49" s="4">
        <v>50</v>
      </c>
      <c r="B49" s="4">
        <v>0</v>
      </c>
      <c r="C49" s="4">
        <v>0</v>
      </c>
      <c r="D49" s="4">
        <v>1</v>
      </c>
      <c r="E49" s="4">
        <v>228</v>
      </c>
      <c r="F49" s="4">
        <f>ROUND(Source!AY41,O49)</f>
        <v>3362.62</v>
      </c>
      <c r="G49" s="4" t="s">
        <v>107</v>
      </c>
      <c r="H49" s="4" t="s">
        <v>108</v>
      </c>
      <c r="I49" s="4"/>
      <c r="J49" s="4"/>
      <c r="K49" s="4">
        <v>228</v>
      </c>
      <c r="L49" s="4">
        <v>7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>
        <v>3362.62</v>
      </c>
      <c r="X49" s="4">
        <v>1</v>
      </c>
      <c r="Y49" s="4">
        <v>17317.49</v>
      </c>
      <c r="Z49" s="4"/>
      <c r="AA49" s="4"/>
      <c r="AB49" s="4"/>
    </row>
    <row r="50" spans="1:28" ht="12.75">
      <c r="A50" s="4">
        <v>50</v>
      </c>
      <c r="B50" s="4">
        <v>0</v>
      </c>
      <c r="C50" s="4">
        <v>0</v>
      </c>
      <c r="D50" s="4">
        <v>1</v>
      </c>
      <c r="E50" s="4">
        <v>216</v>
      </c>
      <c r="F50" s="4">
        <f>ROUND(Source!AP41,O50)</f>
        <v>0</v>
      </c>
      <c r="G50" s="4" t="s">
        <v>109</v>
      </c>
      <c r="H50" s="4" t="s">
        <v>110</v>
      </c>
      <c r="I50" s="4"/>
      <c r="J50" s="4"/>
      <c r="K50" s="4">
        <v>216</v>
      </c>
      <c r="L50" s="4">
        <v>8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>
        <v>0</v>
      </c>
      <c r="X50" s="4">
        <v>1</v>
      </c>
      <c r="Y50" s="4">
        <v>0</v>
      </c>
      <c r="Z50" s="4"/>
      <c r="AA50" s="4"/>
      <c r="AB50" s="4"/>
    </row>
    <row r="51" spans="1:28" ht="12.75">
      <c r="A51" s="4">
        <v>50</v>
      </c>
      <c r="B51" s="4">
        <v>0</v>
      </c>
      <c r="C51" s="4">
        <v>0</v>
      </c>
      <c r="D51" s="4">
        <v>1</v>
      </c>
      <c r="E51" s="4">
        <v>223</v>
      </c>
      <c r="F51" s="4">
        <f>ROUND(Source!AQ41,O51)</f>
        <v>0</v>
      </c>
      <c r="G51" s="4" t="s">
        <v>111</v>
      </c>
      <c r="H51" s="4" t="s">
        <v>112</v>
      </c>
      <c r="I51" s="4"/>
      <c r="J51" s="4"/>
      <c r="K51" s="4">
        <v>223</v>
      </c>
      <c r="L51" s="4">
        <v>9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>
        <v>0</v>
      </c>
      <c r="X51" s="4">
        <v>1</v>
      </c>
      <c r="Y51" s="4">
        <v>0</v>
      </c>
      <c r="Z51" s="4"/>
      <c r="AA51" s="4"/>
      <c r="AB51" s="4"/>
    </row>
    <row r="52" spans="1:28" ht="12.75">
      <c r="A52" s="4">
        <v>50</v>
      </c>
      <c r="B52" s="4">
        <v>0</v>
      </c>
      <c r="C52" s="4">
        <v>0</v>
      </c>
      <c r="D52" s="4">
        <v>1</v>
      </c>
      <c r="E52" s="4">
        <v>229</v>
      </c>
      <c r="F52" s="4">
        <f>ROUND(Source!AZ41,O52)</f>
        <v>0</v>
      </c>
      <c r="G52" s="4" t="s">
        <v>113</v>
      </c>
      <c r="H52" s="4" t="s">
        <v>114</v>
      </c>
      <c r="I52" s="4"/>
      <c r="J52" s="4"/>
      <c r="K52" s="4">
        <v>229</v>
      </c>
      <c r="L52" s="4">
        <v>10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>
        <v>0</v>
      </c>
      <c r="X52" s="4">
        <v>1</v>
      </c>
      <c r="Y52" s="4">
        <v>0</v>
      </c>
      <c r="Z52" s="4"/>
      <c r="AA52" s="4"/>
      <c r="AB52" s="4"/>
    </row>
    <row r="53" spans="1:28" ht="12.75">
      <c r="A53" s="4">
        <v>50</v>
      </c>
      <c r="B53" s="4">
        <v>0</v>
      </c>
      <c r="C53" s="4">
        <v>0</v>
      </c>
      <c r="D53" s="4">
        <v>1</v>
      </c>
      <c r="E53" s="4">
        <v>203</v>
      </c>
      <c r="F53" s="4">
        <f>ROUND(Source!Q41,O53)</f>
        <v>487.66</v>
      </c>
      <c r="G53" s="4" t="s">
        <v>115</v>
      </c>
      <c r="H53" s="4" t="s">
        <v>116</v>
      </c>
      <c r="I53" s="4"/>
      <c r="J53" s="4"/>
      <c r="K53" s="4">
        <v>203</v>
      </c>
      <c r="L53" s="4">
        <v>11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>
        <v>286.04999999999995</v>
      </c>
      <c r="X53" s="4">
        <v>1</v>
      </c>
      <c r="Y53" s="4">
        <v>2208.31</v>
      </c>
      <c r="Z53" s="4"/>
      <c r="AA53" s="4"/>
      <c r="AB53" s="4"/>
    </row>
    <row r="54" spans="1:28" ht="12.75">
      <c r="A54" s="4">
        <v>50</v>
      </c>
      <c r="B54" s="4">
        <v>0</v>
      </c>
      <c r="C54" s="4">
        <v>0</v>
      </c>
      <c r="D54" s="4">
        <v>1</v>
      </c>
      <c r="E54" s="4">
        <v>231</v>
      </c>
      <c r="F54" s="4">
        <f>ROUND(Source!BB41,O54)</f>
        <v>0</v>
      </c>
      <c r="G54" s="4" t="s">
        <v>117</v>
      </c>
      <c r="H54" s="4" t="s">
        <v>118</v>
      </c>
      <c r="I54" s="4"/>
      <c r="J54" s="4"/>
      <c r="K54" s="4">
        <v>231</v>
      </c>
      <c r="L54" s="4">
        <v>12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>
        <v>0</v>
      </c>
      <c r="X54" s="4">
        <v>1</v>
      </c>
      <c r="Y54" s="4">
        <v>0</v>
      </c>
      <c r="Z54" s="4"/>
      <c r="AA54" s="4"/>
      <c r="AB54" s="4"/>
    </row>
    <row r="55" spans="1:28" ht="12.75">
      <c r="A55" s="4">
        <v>50</v>
      </c>
      <c r="B55" s="4">
        <v>0</v>
      </c>
      <c r="C55" s="4">
        <v>0</v>
      </c>
      <c r="D55" s="4">
        <v>1</v>
      </c>
      <c r="E55" s="4">
        <v>204</v>
      </c>
      <c r="F55" s="4">
        <f>ROUND(Source!R41,O55)</f>
        <v>33.56</v>
      </c>
      <c r="G55" s="4" t="s">
        <v>119</v>
      </c>
      <c r="H55" s="4" t="s">
        <v>120</v>
      </c>
      <c r="I55" s="4"/>
      <c r="J55" s="4"/>
      <c r="K55" s="4">
        <v>204</v>
      </c>
      <c r="L55" s="4">
        <v>13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>
        <v>33.56</v>
      </c>
      <c r="X55" s="4">
        <v>1</v>
      </c>
      <c r="Y55" s="4">
        <v>970.8899999999999</v>
      </c>
      <c r="Z55" s="4"/>
      <c r="AA55" s="4"/>
      <c r="AB55" s="4"/>
    </row>
    <row r="56" spans="1:28" ht="12.75">
      <c r="A56" s="4">
        <v>50</v>
      </c>
      <c r="B56" s="4">
        <v>0</v>
      </c>
      <c r="C56" s="4">
        <v>0</v>
      </c>
      <c r="D56" s="4">
        <v>1</v>
      </c>
      <c r="E56" s="4">
        <v>205</v>
      </c>
      <c r="F56" s="4">
        <f>ROUND(Source!S41,O56)</f>
        <v>650.96</v>
      </c>
      <c r="G56" s="4" t="s">
        <v>121</v>
      </c>
      <c r="H56" s="4" t="s">
        <v>122</v>
      </c>
      <c r="I56" s="4"/>
      <c r="J56" s="4"/>
      <c r="K56" s="4">
        <v>205</v>
      </c>
      <c r="L56" s="4">
        <v>14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>
        <v>650.96</v>
      </c>
      <c r="X56" s="4">
        <v>1</v>
      </c>
      <c r="Y56" s="4">
        <v>18832.29</v>
      </c>
      <c r="Z56" s="4"/>
      <c r="AA56" s="4"/>
      <c r="AB56" s="4"/>
    </row>
    <row r="57" spans="1:28" ht="12.75">
      <c r="A57" s="4">
        <v>50</v>
      </c>
      <c r="B57" s="4">
        <v>0</v>
      </c>
      <c r="C57" s="4">
        <v>0</v>
      </c>
      <c r="D57" s="4">
        <v>1</v>
      </c>
      <c r="E57" s="4">
        <v>232</v>
      </c>
      <c r="F57" s="4">
        <f>ROUND(Source!BC41,O57)</f>
        <v>0</v>
      </c>
      <c r="G57" s="4" t="s">
        <v>123</v>
      </c>
      <c r="H57" s="4" t="s">
        <v>124</v>
      </c>
      <c r="I57" s="4"/>
      <c r="J57" s="4"/>
      <c r="K57" s="4">
        <v>232</v>
      </c>
      <c r="L57" s="4">
        <v>15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>
        <v>0</v>
      </c>
      <c r="X57" s="4">
        <v>1</v>
      </c>
      <c r="Y57" s="4">
        <v>0</v>
      </c>
      <c r="Z57" s="4"/>
      <c r="AA57" s="4"/>
      <c r="AB57" s="4"/>
    </row>
    <row r="58" spans="1:28" ht="12.75">
      <c r="A58" s="4">
        <v>50</v>
      </c>
      <c r="B58" s="4">
        <v>0</v>
      </c>
      <c r="C58" s="4">
        <v>0</v>
      </c>
      <c r="D58" s="4">
        <v>1</v>
      </c>
      <c r="E58" s="4">
        <v>214</v>
      </c>
      <c r="F58" s="4">
        <f>ROUND(Source!AS41,O58)</f>
        <v>5621.01</v>
      </c>
      <c r="G58" s="4" t="s">
        <v>125</v>
      </c>
      <c r="H58" s="4" t="s">
        <v>126</v>
      </c>
      <c r="I58" s="4"/>
      <c r="J58" s="4"/>
      <c r="K58" s="4">
        <v>214</v>
      </c>
      <c r="L58" s="4">
        <v>16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>
        <v>5621.01</v>
      </c>
      <c r="X58" s="4">
        <v>1</v>
      </c>
      <c r="Y58" s="4">
        <v>72309.62</v>
      </c>
      <c r="Z58" s="4"/>
      <c r="AA58" s="4"/>
      <c r="AB58" s="4"/>
    </row>
    <row r="59" spans="1:28" ht="12.75">
      <c r="A59" s="4">
        <v>50</v>
      </c>
      <c r="B59" s="4">
        <v>0</v>
      </c>
      <c r="C59" s="4">
        <v>0</v>
      </c>
      <c r="D59" s="4">
        <v>1</v>
      </c>
      <c r="E59" s="4">
        <v>215</v>
      </c>
      <c r="F59" s="4">
        <f>ROUND(Source!AT41,O59)</f>
        <v>0</v>
      </c>
      <c r="G59" s="4" t="s">
        <v>127</v>
      </c>
      <c r="H59" s="4" t="s">
        <v>128</v>
      </c>
      <c r="I59" s="4"/>
      <c r="J59" s="4"/>
      <c r="K59" s="4">
        <v>215</v>
      </c>
      <c r="L59" s="4">
        <v>17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>
        <v>0</v>
      </c>
      <c r="X59" s="4">
        <v>1</v>
      </c>
      <c r="Y59" s="4">
        <v>0</v>
      </c>
      <c r="Z59" s="4"/>
      <c r="AA59" s="4"/>
      <c r="AB59" s="4"/>
    </row>
    <row r="60" spans="1:28" ht="12.75">
      <c r="A60" s="4">
        <v>50</v>
      </c>
      <c r="B60" s="4">
        <v>0</v>
      </c>
      <c r="C60" s="4">
        <v>0</v>
      </c>
      <c r="D60" s="4">
        <v>1</v>
      </c>
      <c r="E60" s="4">
        <v>217</v>
      </c>
      <c r="F60" s="4">
        <f>ROUND(Source!AU41,O60)</f>
        <v>0</v>
      </c>
      <c r="G60" s="4" t="s">
        <v>129</v>
      </c>
      <c r="H60" s="4" t="s">
        <v>130</v>
      </c>
      <c r="I60" s="4"/>
      <c r="J60" s="4"/>
      <c r="K60" s="4">
        <v>217</v>
      </c>
      <c r="L60" s="4">
        <v>18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>
        <v>0</v>
      </c>
      <c r="X60" s="4">
        <v>1</v>
      </c>
      <c r="Y60" s="4">
        <v>0</v>
      </c>
      <c r="Z60" s="4"/>
      <c r="AA60" s="4"/>
      <c r="AB60" s="4"/>
    </row>
    <row r="61" spans="1:28" ht="12.75">
      <c r="A61" s="4">
        <v>50</v>
      </c>
      <c r="B61" s="4">
        <v>0</v>
      </c>
      <c r="C61" s="4">
        <v>0</v>
      </c>
      <c r="D61" s="4">
        <v>1</v>
      </c>
      <c r="E61" s="4">
        <v>230</v>
      </c>
      <c r="F61" s="4">
        <f>ROUND(Source!BA41,O61)</f>
        <v>0</v>
      </c>
      <c r="G61" s="4" t="s">
        <v>131</v>
      </c>
      <c r="H61" s="4" t="s">
        <v>132</v>
      </c>
      <c r="I61" s="4"/>
      <c r="J61" s="4"/>
      <c r="K61" s="4">
        <v>230</v>
      </c>
      <c r="L61" s="4">
        <v>19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>
        <v>0</v>
      </c>
      <c r="X61" s="4">
        <v>1</v>
      </c>
      <c r="Y61" s="4">
        <v>0</v>
      </c>
      <c r="Z61" s="4"/>
      <c r="AA61" s="4"/>
      <c r="AB61" s="4"/>
    </row>
    <row r="62" spans="1:28" ht="12.75">
      <c r="A62" s="4">
        <v>50</v>
      </c>
      <c r="B62" s="4">
        <v>0</v>
      </c>
      <c r="C62" s="4">
        <v>0</v>
      </c>
      <c r="D62" s="4">
        <v>1</v>
      </c>
      <c r="E62" s="4">
        <v>206</v>
      </c>
      <c r="F62" s="4">
        <f>ROUND(Source!T41,O62)</f>
        <v>0</v>
      </c>
      <c r="G62" s="4" t="s">
        <v>133</v>
      </c>
      <c r="H62" s="4" t="s">
        <v>134</v>
      </c>
      <c r="I62" s="4"/>
      <c r="J62" s="4"/>
      <c r="K62" s="4">
        <v>206</v>
      </c>
      <c r="L62" s="4">
        <v>20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>
        <v>0</v>
      </c>
      <c r="X62" s="4">
        <v>1</v>
      </c>
      <c r="Y62" s="4">
        <v>0</v>
      </c>
      <c r="Z62" s="4"/>
      <c r="AA62" s="4"/>
      <c r="AB62" s="4"/>
    </row>
    <row r="63" spans="1:28" ht="12.75">
      <c r="A63" s="4">
        <v>50</v>
      </c>
      <c r="B63" s="4">
        <v>0</v>
      </c>
      <c r="C63" s="4">
        <v>0</v>
      </c>
      <c r="D63" s="4">
        <v>1</v>
      </c>
      <c r="E63" s="4">
        <v>207</v>
      </c>
      <c r="F63" s="4">
        <f>Source!U41</f>
        <v>83.3336184</v>
      </c>
      <c r="G63" s="4" t="s">
        <v>135</v>
      </c>
      <c r="H63" s="4" t="s">
        <v>136</v>
      </c>
      <c r="I63" s="4"/>
      <c r="J63" s="4"/>
      <c r="K63" s="4">
        <v>207</v>
      </c>
      <c r="L63" s="4">
        <v>21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>
        <v>83.3336184</v>
      </c>
      <c r="X63" s="4">
        <v>1</v>
      </c>
      <c r="Y63" s="4">
        <v>83.3336184</v>
      </c>
      <c r="Z63" s="4"/>
      <c r="AA63" s="4"/>
      <c r="AB63" s="4"/>
    </row>
    <row r="64" spans="1:28" ht="12.75">
      <c r="A64" s="4">
        <v>50</v>
      </c>
      <c r="B64" s="4">
        <v>0</v>
      </c>
      <c r="C64" s="4">
        <v>0</v>
      </c>
      <c r="D64" s="4">
        <v>1</v>
      </c>
      <c r="E64" s="4">
        <v>208</v>
      </c>
      <c r="F64" s="4">
        <f>Source!V41</f>
        <v>3.2287983999999996</v>
      </c>
      <c r="G64" s="4" t="s">
        <v>137</v>
      </c>
      <c r="H64" s="4" t="s">
        <v>138</v>
      </c>
      <c r="I64" s="4"/>
      <c r="J64" s="4"/>
      <c r="K64" s="4">
        <v>208</v>
      </c>
      <c r="L64" s="4">
        <v>22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>
        <v>3.2287984</v>
      </c>
      <c r="X64" s="4">
        <v>1</v>
      </c>
      <c r="Y64" s="4">
        <v>3.2287984</v>
      </c>
      <c r="Z64" s="4"/>
      <c r="AA64" s="4"/>
      <c r="AB64" s="4"/>
    </row>
    <row r="65" spans="1:28" ht="12.75">
      <c r="A65" s="4">
        <v>50</v>
      </c>
      <c r="B65" s="4">
        <v>0</v>
      </c>
      <c r="C65" s="4">
        <v>0</v>
      </c>
      <c r="D65" s="4">
        <v>1</v>
      </c>
      <c r="E65" s="4">
        <v>209</v>
      </c>
      <c r="F65" s="4">
        <f>ROUND(Source!W41,O65)</f>
        <v>0</v>
      </c>
      <c r="G65" s="4" t="s">
        <v>139</v>
      </c>
      <c r="H65" s="4" t="s">
        <v>140</v>
      </c>
      <c r="I65" s="4"/>
      <c r="J65" s="4"/>
      <c r="K65" s="4">
        <v>209</v>
      </c>
      <c r="L65" s="4">
        <v>23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>
        <v>0</v>
      </c>
      <c r="X65" s="4">
        <v>1</v>
      </c>
      <c r="Y65" s="4">
        <v>0</v>
      </c>
      <c r="Z65" s="4"/>
      <c r="AA65" s="4"/>
      <c r="AB65" s="4"/>
    </row>
    <row r="66" spans="1:28" ht="12.75">
      <c r="A66" s="4">
        <v>50</v>
      </c>
      <c r="B66" s="4">
        <v>0</v>
      </c>
      <c r="C66" s="4">
        <v>0</v>
      </c>
      <c r="D66" s="4">
        <v>1</v>
      </c>
      <c r="E66" s="4">
        <v>233</v>
      </c>
      <c r="F66" s="4">
        <f>ROUND(Source!BD41,O66)</f>
        <v>201.61</v>
      </c>
      <c r="G66" s="4" t="s">
        <v>141</v>
      </c>
      <c r="H66" s="4" t="s">
        <v>142</v>
      </c>
      <c r="I66" s="4"/>
      <c r="J66" s="4"/>
      <c r="K66" s="4">
        <v>233</v>
      </c>
      <c r="L66" s="4">
        <v>24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>
        <v>201.61</v>
      </c>
      <c r="X66" s="4">
        <v>1</v>
      </c>
      <c r="Y66" s="4">
        <v>1556.43</v>
      </c>
      <c r="Z66" s="4"/>
      <c r="AA66" s="4"/>
      <c r="AB66" s="4"/>
    </row>
    <row r="67" spans="1:28" ht="12.75">
      <c r="A67" s="4">
        <v>50</v>
      </c>
      <c r="B67" s="4">
        <v>0</v>
      </c>
      <c r="C67" s="4">
        <v>0</v>
      </c>
      <c r="D67" s="4">
        <v>1</v>
      </c>
      <c r="E67" s="4">
        <v>0</v>
      </c>
      <c r="F67" s="4">
        <f>ROUND(Source!X41,O67)</f>
        <v>689.2</v>
      </c>
      <c r="G67" s="4" t="s">
        <v>143</v>
      </c>
      <c r="H67" s="4" t="s">
        <v>144</v>
      </c>
      <c r="I67" s="4"/>
      <c r="J67" s="4"/>
      <c r="K67" s="4">
        <v>210</v>
      </c>
      <c r="L67" s="4">
        <v>25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>
        <v>689.2</v>
      </c>
      <c r="X67" s="4">
        <v>1</v>
      </c>
      <c r="Y67" s="4">
        <v>19938.620000000003</v>
      </c>
      <c r="Z67" s="4"/>
      <c r="AA67" s="4"/>
      <c r="AB67" s="4"/>
    </row>
    <row r="68" spans="1:28" ht="12.75">
      <c r="A68" s="4">
        <v>50</v>
      </c>
      <c r="B68" s="4">
        <v>0</v>
      </c>
      <c r="C68" s="4">
        <v>0</v>
      </c>
      <c r="D68" s="4">
        <v>1</v>
      </c>
      <c r="E68" s="4">
        <v>0</v>
      </c>
      <c r="F68" s="4">
        <f>ROUND(Source!Y41,O68)</f>
        <v>430.57</v>
      </c>
      <c r="G68" s="4" t="s">
        <v>145</v>
      </c>
      <c r="H68" s="4" t="s">
        <v>146</v>
      </c>
      <c r="I68" s="4"/>
      <c r="J68" s="4"/>
      <c r="K68" s="4">
        <v>211</v>
      </c>
      <c r="L68" s="4">
        <v>26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>
        <v>430.57</v>
      </c>
      <c r="X68" s="4">
        <v>1</v>
      </c>
      <c r="Y68" s="4">
        <v>12456.48</v>
      </c>
      <c r="Z68" s="4"/>
      <c r="AA68" s="4"/>
      <c r="AB68" s="4"/>
    </row>
    <row r="69" spans="1:28" ht="12.75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ROUND(Source!AR41,O69)</f>
        <v>5621.01</v>
      </c>
      <c r="G69" s="4" t="s">
        <v>147</v>
      </c>
      <c r="H69" s="4" t="s">
        <v>148</v>
      </c>
      <c r="I69" s="4"/>
      <c r="J69" s="4"/>
      <c r="K69" s="4">
        <v>224</v>
      </c>
      <c r="L69" s="4">
        <v>27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>
        <v>5621.009999999999</v>
      </c>
      <c r="X69" s="4">
        <v>1</v>
      </c>
      <c r="Y69" s="4">
        <v>72309.62000000001</v>
      </c>
      <c r="Z69" s="4"/>
      <c r="AA69" s="4"/>
      <c r="AB69" s="4"/>
    </row>
    <row r="70" spans="1:28" ht="12.75">
      <c r="A70" s="4">
        <v>50</v>
      </c>
      <c r="B70" s="4">
        <v>1</v>
      </c>
      <c r="C70" s="4">
        <v>0</v>
      </c>
      <c r="D70" s="4">
        <v>2</v>
      </c>
      <c r="E70" s="4">
        <v>201</v>
      </c>
      <c r="F70" s="4">
        <f>ROUND(ROUND(F43,0),O70)</f>
        <v>4501</v>
      </c>
      <c r="G70" s="4" t="s">
        <v>149</v>
      </c>
      <c r="H70" s="4" t="s">
        <v>150</v>
      </c>
      <c r="I70" s="4"/>
      <c r="J70" s="4"/>
      <c r="K70" s="4">
        <v>212</v>
      </c>
      <c r="L70" s="4">
        <v>28</v>
      </c>
      <c r="M70" s="4">
        <v>0</v>
      </c>
      <c r="N70" s="4" t="s">
        <v>3</v>
      </c>
      <c r="O70" s="4">
        <v>0</v>
      </c>
      <c r="P70" s="4"/>
      <c r="Q70" s="4"/>
      <c r="R70" s="4"/>
      <c r="S70" s="4"/>
      <c r="T70" s="4"/>
      <c r="U70" s="4"/>
      <c r="V70" s="4"/>
      <c r="W70" s="4">
        <v>4501</v>
      </c>
      <c r="X70" s="4">
        <v>1</v>
      </c>
      <c r="Y70" s="4">
        <v>39915</v>
      </c>
      <c r="Z70" s="4"/>
      <c r="AA70" s="4"/>
      <c r="AB70" s="4"/>
    </row>
    <row r="71" spans="1:28" ht="12.75">
      <c r="A71" s="4">
        <v>50</v>
      </c>
      <c r="B71" s="4">
        <v>1</v>
      </c>
      <c r="C71" s="4">
        <v>0</v>
      </c>
      <c r="D71" s="4">
        <v>2</v>
      </c>
      <c r="E71" s="4">
        <v>210</v>
      </c>
      <c r="F71" s="4">
        <f>ROUND(ROUND(F67,0),O71)</f>
        <v>689</v>
      </c>
      <c r="G71" s="4" t="s">
        <v>151</v>
      </c>
      <c r="H71" s="4" t="s">
        <v>144</v>
      </c>
      <c r="I71" s="4"/>
      <c r="J71" s="4"/>
      <c r="K71" s="4">
        <v>212</v>
      </c>
      <c r="L71" s="4">
        <v>29</v>
      </c>
      <c r="M71" s="4">
        <v>0</v>
      </c>
      <c r="N71" s="4" t="s">
        <v>3</v>
      </c>
      <c r="O71" s="4">
        <v>0</v>
      </c>
      <c r="P71" s="4"/>
      <c r="Q71" s="4"/>
      <c r="R71" s="4"/>
      <c r="S71" s="4"/>
      <c r="T71" s="4"/>
      <c r="U71" s="4"/>
      <c r="V71" s="4"/>
      <c r="W71" s="4">
        <v>689</v>
      </c>
      <c r="X71" s="4">
        <v>1</v>
      </c>
      <c r="Y71" s="4">
        <v>19939</v>
      </c>
      <c r="Z71" s="4"/>
      <c r="AA71" s="4"/>
      <c r="AB71" s="4"/>
    </row>
    <row r="72" spans="1:28" ht="12.75">
      <c r="A72" s="4">
        <v>50</v>
      </c>
      <c r="B72" s="4">
        <v>1</v>
      </c>
      <c r="C72" s="4">
        <v>0</v>
      </c>
      <c r="D72" s="4">
        <v>2</v>
      </c>
      <c r="E72" s="4">
        <v>211</v>
      </c>
      <c r="F72" s="4">
        <f>ROUND(ROUND(F68,0),O72)</f>
        <v>431</v>
      </c>
      <c r="G72" s="4" t="s">
        <v>152</v>
      </c>
      <c r="H72" s="4" t="s">
        <v>146</v>
      </c>
      <c r="I72" s="4"/>
      <c r="J72" s="4"/>
      <c r="K72" s="4">
        <v>212</v>
      </c>
      <c r="L72" s="4">
        <v>30</v>
      </c>
      <c r="M72" s="4">
        <v>0</v>
      </c>
      <c r="N72" s="4" t="s">
        <v>3</v>
      </c>
      <c r="O72" s="4">
        <v>0</v>
      </c>
      <c r="P72" s="4"/>
      <c r="Q72" s="4"/>
      <c r="R72" s="4"/>
      <c r="S72" s="4"/>
      <c r="T72" s="4"/>
      <c r="U72" s="4"/>
      <c r="V72" s="4"/>
      <c r="W72" s="4">
        <v>431</v>
      </c>
      <c r="X72" s="4">
        <v>1</v>
      </c>
      <c r="Y72" s="4">
        <v>12456</v>
      </c>
      <c r="Z72" s="4"/>
      <c r="AA72" s="4"/>
      <c r="AB72" s="4"/>
    </row>
    <row r="73" spans="1:28" ht="12.75">
      <c r="A73" s="4">
        <v>50</v>
      </c>
      <c r="B73" s="4">
        <v>1</v>
      </c>
      <c r="C73" s="4">
        <v>0</v>
      </c>
      <c r="D73" s="4">
        <v>2</v>
      </c>
      <c r="E73" s="4">
        <v>213</v>
      </c>
      <c r="F73" s="4">
        <f>ROUND(F70+F71+F72,O73)</f>
        <v>5621</v>
      </c>
      <c r="G73" s="4" t="s">
        <v>153</v>
      </c>
      <c r="H73" s="4" t="s">
        <v>154</v>
      </c>
      <c r="I73" s="4"/>
      <c r="J73" s="4"/>
      <c r="K73" s="4">
        <v>212</v>
      </c>
      <c r="L73" s="4">
        <v>31</v>
      </c>
      <c r="M73" s="4">
        <v>0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>
        <v>5621</v>
      </c>
      <c r="X73" s="4">
        <v>1</v>
      </c>
      <c r="Y73" s="4">
        <v>72310</v>
      </c>
      <c r="Z73" s="4"/>
      <c r="AA73" s="4"/>
      <c r="AB73" s="4"/>
    </row>
    <row r="74" spans="1:28" ht="12.75">
      <c r="A74" s="4">
        <v>50</v>
      </c>
      <c r="B74" s="4">
        <v>1</v>
      </c>
      <c r="C74" s="4">
        <v>0</v>
      </c>
      <c r="D74" s="4">
        <v>2</v>
      </c>
      <c r="E74" s="4">
        <v>0</v>
      </c>
      <c r="F74" s="4">
        <v>5621.01</v>
      </c>
      <c r="G74" s="4" t="s">
        <v>155</v>
      </c>
      <c r="H74" s="4" t="s">
        <v>156</v>
      </c>
      <c r="I74" s="4"/>
      <c r="J74" s="4"/>
      <c r="K74" s="4">
        <v>212</v>
      </c>
      <c r="L74" s="4">
        <v>32</v>
      </c>
      <c r="M74" s="4">
        <v>1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>
        <v>5621.01</v>
      </c>
      <c r="X74" s="4">
        <v>1</v>
      </c>
      <c r="Y74" s="4">
        <v>5621.01</v>
      </c>
      <c r="Z74" s="4"/>
      <c r="AA74" s="4"/>
      <c r="AB74" s="4"/>
    </row>
    <row r="75" spans="1:28" ht="12.75">
      <c r="A75" s="4">
        <v>50</v>
      </c>
      <c r="B75" s="4">
        <v>0</v>
      </c>
      <c r="C75" s="4">
        <v>0</v>
      </c>
      <c r="D75" s="4">
        <v>2</v>
      </c>
      <c r="E75" s="4">
        <v>0</v>
      </c>
      <c r="F75" s="4">
        <v>0</v>
      </c>
      <c r="G75" s="4" t="s">
        <v>157</v>
      </c>
      <c r="H75" s="4" t="s">
        <v>158</v>
      </c>
      <c r="I75" s="4"/>
      <c r="J75" s="4"/>
      <c r="K75" s="4">
        <v>212</v>
      </c>
      <c r="L75" s="4">
        <v>33</v>
      </c>
      <c r="M75" s="4">
        <v>1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>
        <v>0</v>
      </c>
      <c r="X75" s="4">
        <v>1</v>
      </c>
      <c r="Y75" s="4">
        <v>0</v>
      </c>
      <c r="Z75" s="4"/>
      <c r="AA75" s="4"/>
      <c r="AB75" s="4"/>
    </row>
    <row r="76" spans="1:28" ht="12.75">
      <c r="A76" s="4">
        <v>50</v>
      </c>
      <c r="B76" s="4">
        <v>0</v>
      </c>
      <c r="C76" s="4">
        <v>0</v>
      </c>
      <c r="D76" s="4">
        <v>2</v>
      </c>
      <c r="E76" s="4">
        <v>0</v>
      </c>
      <c r="F76" s="4">
        <v>0</v>
      </c>
      <c r="G76" s="4" t="s">
        <v>159</v>
      </c>
      <c r="H76" s="4" t="s">
        <v>160</v>
      </c>
      <c r="I76" s="4"/>
      <c r="J76" s="4"/>
      <c r="K76" s="4">
        <v>212</v>
      </c>
      <c r="L76" s="4">
        <v>34</v>
      </c>
      <c r="M76" s="4">
        <v>1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>
        <v>0</v>
      </c>
      <c r="X76" s="4">
        <v>1</v>
      </c>
      <c r="Y76" s="4">
        <v>0</v>
      </c>
      <c r="Z76" s="4"/>
      <c r="AA76" s="4"/>
      <c r="AB76" s="4"/>
    </row>
    <row r="77" spans="1:28" ht="12.75">
      <c r="A77" s="4">
        <v>50</v>
      </c>
      <c r="B77" s="4">
        <v>0</v>
      </c>
      <c r="C77" s="4">
        <v>0</v>
      </c>
      <c r="D77" s="4">
        <v>2</v>
      </c>
      <c r="E77" s="4">
        <v>0</v>
      </c>
      <c r="F77" s="4">
        <v>0</v>
      </c>
      <c r="G77" s="4" t="s">
        <v>161</v>
      </c>
      <c r="H77" s="4" t="s">
        <v>162</v>
      </c>
      <c r="I77" s="4"/>
      <c r="J77" s="4"/>
      <c r="K77" s="4">
        <v>212</v>
      </c>
      <c r="L77" s="4">
        <v>35</v>
      </c>
      <c r="M77" s="4">
        <v>1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>
        <v>0</v>
      </c>
      <c r="X77" s="4">
        <v>1</v>
      </c>
      <c r="Y77" s="4">
        <v>0</v>
      </c>
      <c r="Z77" s="4"/>
      <c r="AA77" s="4"/>
      <c r="AB77" s="4"/>
    </row>
    <row r="78" spans="1:28" ht="12.75">
      <c r="A78" s="4">
        <v>50</v>
      </c>
      <c r="B78" s="4">
        <f>IF(Source!F78=0,1,0)</f>
        <v>1</v>
      </c>
      <c r="C78" s="4">
        <v>0</v>
      </c>
      <c r="D78" s="4">
        <v>2</v>
      </c>
      <c r="E78" s="4">
        <v>0</v>
      </c>
      <c r="F78" s="4">
        <f>ROUND(ROUND((F73-F74-F75-F76-F77),0),O78)</f>
        <v>0</v>
      </c>
      <c r="G78" s="4" t="s">
        <v>163</v>
      </c>
      <c r="H78" s="4" t="s">
        <v>164</v>
      </c>
      <c r="I78" s="4"/>
      <c r="J78" s="4"/>
      <c r="K78" s="4">
        <v>212</v>
      </c>
      <c r="L78" s="4">
        <v>36</v>
      </c>
      <c r="M78" s="4">
        <v>2</v>
      </c>
      <c r="N78" s="4" t="s">
        <v>3</v>
      </c>
      <c r="O78" s="4">
        <v>0</v>
      </c>
      <c r="P78" s="4"/>
      <c r="Q78" s="4"/>
      <c r="R78" s="4"/>
      <c r="S78" s="4"/>
      <c r="T78" s="4"/>
      <c r="U78" s="4"/>
      <c r="V78" s="4"/>
      <c r="W78" s="4">
        <v>0</v>
      </c>
      <c r="X78" s="4">
        <v>1</v>
      </c>
      <c r="Y78" s="4">
        <v>66689</v>
      </c>
      <c r="Z78" s="4"/>
      <c r="AA78" s="4"/>
      <c r="AB78" s="4"/>
    </row>
    <row r="80" spans="1:88" ht="12.75">
      <c r="A80" s="1">
        <v>4</v>
      </c>
      <c r="B80" s="1">
        <v>1</v>
      </c>
      <c r="C80" s="1"/>
      <c r="D80" s="1">
        <f>ROW(A98)</f>
        <v>98</v>
      </c>
      <c r="E80" s="1"/>
      <c r="F80" s="1" t="s">
        <v>15</v>
      </c>
      <c r="G80" s="1" t="s">
        <v>165</v>
      </c>
      <c r="H80" s="1" t="s">
        <v>3</v>
      </c>
      <c r="I80" s="1">
        <v>0</v>
      </c>
      <c r="J80" s="1"/>
      <c r="K80" s="1">
        <v>0</v>
      </c>
      <c r="L80" s="1"/>
      <c r="M80" s="1" t="s">
        <v>3</v>
      </c>
      <c r="N80" s="1"/>
      <c r="O80" s="1"/>
      <c r="P80" s="1"/>
      <c r="Q80" s="1"/>
      <c r="R80" s="1"/>
      <c r="S80" s="1">
        <v>44571021</v>
      </c>
      <c r="T80" s="1"/>
      <c r="U80" s="1" t="s">
        <v>3</v>
      </c>
      <c r="V80" s="1">
        <v>0</v>
      </c>
      <c r="W80" s="1"/>
      <c r="X80" s="1"/>
      <c r="Y80" s="1"/>
      <c r="Z80" s="1"/>
      <c r="AA80" s="1"/>
      <c r="AB80" s="1" t="s">
        <v>3</v>
      </c>
      <c r="AC80" s="1" t="s">
        <v>3</v>
      </c>
      <c r="AD80" s="1" t="s">
        <v>3</v>
      </c>
      <c r="AE80" s="1" t="s">
        <v>3</v>
      </c>
      <c r="AF80" s="1" t="s">
        <v>3</v>
      </c>
      <c r="AG80" s="1" t="s">
        <v>3</v>
      </c>
      <c r="AH80" s="1"/>
      <c r="AI80" s="1"/>
      <c r="AJ80" s="1"/>
      <c r="AK80" s="1"/>
      <c r="AL80" s="1"/>
      <c r="AM80" s="1"/>
      <c r="AN80" s="1"/>
      <c r="AO80" s="1"/>
      <c r="AP80" s="1" t="s">
        <v>3</v>
      </c>
      <c r="AQ80" s="1" t="s">
        <v>3</v>
      </c>
      <c r="AR80" s="1" t="s">
        <v>3</v>
      </c>
      <c r="AS80" s="1"/>
      <c r="AT80" s="1"/>
      <c r="AU80" s="1"/>
      <c r="AV80" s="1"/>
      <c r="AW80" s="1"/>
      <c r="AX80" s="1"/>
      <c r="AY80" s="1"/>
      <c r="AZ80" s="1" t="s">
        <v>3</v>
      </c>
      <c r="BA80" s="1"/>
      <c r="BB80" s="1" t="s">
        <v>3</v>
      </c>
      <c r="BC80" s="1" t="s">
        <v>3</v>
      </c>
      <c r="BD80" s="1" t="s">
        <v>3</v>
      </c>
      <c r="BE80" s="1" t="s">
        <v>3</v>
      </c>
      <c r="BF80" s="1" t="s">
        <v>3</v>
      </c>
      <c r="BG80" s="1" t="s">
        <v>3</v>
      </c>
      <c r="BH80" s="1" t="s">
        <v>3</v>
      </c>
      <c r="BI80" s="1" t="s">
        <v>3</v>
      </c>
      <c r="BJ80" s="1" t="s">
        <v>3</v>
      </c>
      <c r="BK80" s="1" t="s">
        <v>3</v>
      </c>
      <c r="BL80" s="1" t="s">
        <v>3</v>
      </c>
      <c r="BM80" s="1" t="s">
        <v>3</v>
      </c>
      <c r="BN80" s="1" t="s">
        <v>3</v>
      </c>
      <c r="BO80" s="1" t="s">
        <v>3</v>
      </c>
      <c r="BP80" s="1" t="s">
        <v>3</v>
      </c>
      <c r="BQ80" s="1"/>
      <c r="BR80" s="1"/>
      <c r="BS80" s="1"/>
      <c r="BT80" s="1"/>
      <c r="BU80" s="1"/>
      <c r="BV80" s="1"/>
      <c r="BW80" s="1"/>
      <c r="BX80" s="1"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>
        <v>0</v>
      </c>
    </row>
    <row r="82" spans="1:206" ht="12.75">
      <c r="A82" s="2">
        <v>52</v>
      </c>
      <c r="B82" s="2">
        <f aca="true" t="shared" si="65" ref="B82:G82">B98</f>
        <v>1</v>
      </c>
      <c r="C82" s="2">
        <f t="shared" si="65"/>
        <v>4</v>
      </c>
      <c r="D82" s="2">
        <f t="shared" si="65"/>
        <v>80</v>
      </c>
      <c r="E82" s="2">
        <f t="shared" si="65"/>
        <v>0</v>
      </c>
      <c r="F82" s="2" t="str">
        <f t="shared" si="65"/>
        <v>Новый раздел</v>
      </c>
      <c r="G82" s="2" t="str">
        <f t="shared" si="65"/>
        <v>Монтажные работы</v>
      </c>
      <c r="H82" s="2"/>
      <c r="I82" s="2"/>
      <c r="J82" s="2"/>
      <c r="K82" s="2"/>
      <c r="L82" s="2"/>
      <c r="M82" s="2"/>
      <c r="N82" s="2"/>
      <c r="O82" s="2">
        <f aca="true" t="shared" si="66" ref="O82:AT82">O98</f>
        <v>2957.6</v>
      </c>
      <c r="P82" s="2">
        <f t="shared" si="66"/>
        <v>187.12</v>
      </c>
      <c r="Q82" s="2">
        <f t="shared" si="66"/>
        <v>2053.22</v>
      </c>
      <c r="R82" s="2">
        <f t="shared" si="66"/>
        <v>99.32</v>
      </c>
      <c r="S82" s="2">
        <f t="shared" si="66"/>
        <v>717.26</v>
      </c>
      <c r="T82" s="2">
        <f t="shared" si="66"/>
        <v>0</v>
      </c>
      <c r="U82" s="2">
        <f t="shared" si="66"/>
        <v>76.10828099999999</v>
      </c>
      <c r="V82" s="2">
        <f t="shared" si="66"/>
        <v>8.480430000000002</v>
      </c>
      <c r="W82" s="2">
        <f t="shared" si="66"/>
        <v>0</v>
      </c>
      <c r="X82" s="2">
        <f t="shared" si="66"/>
        <v>792.08</v>
      </c>
      <c r="Y82" s="2">
        <f t="shared" si="66"/>
        <v>416.44</v>
      </c>
      <c r="Z82" s="2">
        <f t="shared" si="66"/>
        <v>0</v>
      </c>
      <c r="AA82" s="2">
        <f t="shared" si="66"/>
        <v>0</v>
      </c>
      <c r="AB82" s="2">
        <f t="shared" si="66"/>
        <v>2957.6</v>
      </c>
      <c r="AC82" s="2">
        <f t="shared" si="66"/>
        <v>187.12</v>
      </c>
      <c r="AD82" s="2">
        <f t="shared" si="66"/>
        <v>2053.22</v>
      </c>
      <c r="AE82" s="2">
        <f t="shared" si="66"/>
        <v>99.32</v>
      </c>
      <c r="AF82" s="2">
        <f t="shared" si="66"/>
        <v>717.26</v>
      </c>
      <c r="AG82" s="2">
        <f t="shared" si="66"/>
        <v>0</v>
      </c>
      <c r="AH82" s="2">
        <f t="shared" si="66"/>
        <v>76.10828099999999</v>
      </c>
      <c r="AI82" s="2">
        <f t="shared" si="66"/>
        <v>8.480430000000002</v>
      </c>
      <c r="AJ82" s="2">
        <f t="shared" si="66"/>
        <v>0</v>
      </c>
      <c r="AK82" s="2">
        <f t="shared" si="66"/>
        <v>792.08</v>
      </c>
      <c r="AL82" s="2">
        <f t="shared" si="66"/>
        <v>416.44</v>
      </c>
      <c r="AM82" s="2">
        <f t="shared" si="66"/>
        <v>0</v>
      </c>
      <c r="AN82" s="2">
        <f t="shared" si="66"/>
        <v>0</v>
      </c>
      <c r="AO82" s="2">
        <f t="shared" si="66"/>
        <v>0</v>
      </c>
      <c r="AP82" s="2">
        <f t="shared" si="66"/>
        <v>0</v>
      </c>
      <c r="AQ82" s="2">
        <f t="shared" si="66"/>
        <v>0</v>
      </c>
      <c r="AR82" s="2">
        <f t="shared" si="66"/>
        <v>4166.12</v>
      </c>
      <c r="AS82" s="2">
        <f t="shared" si="66"/>
        <v>0</v>
      </c>
      <c r="AT82" s="2">
        <f t="shared" si="66"/>
        <v>4166.12</v>
      </c>
      <c r="AU82" s="2">
        <f aca="true" t="shared" si="67" ref="AU82:BZ82">AU98</f>
        <v>0</v>
      </c>
      <c r="AV82" s="2">
        <f t="shared" si="67"/>
        <v>187.12</v>
      </c>
      <c r="AW82" s="2">
        <f t="shared" si="67"/>
        <v>187.12</v>
      </c>
      <c r="AX82" s="2">
        <f t="shared" si="67"/>
        <v>0</v>
      </c>
      <c r="AY82" s="2">
        <f t="shared" si="67"/>
        <v>187.12</v>
      </c>
      <c r="AZ82" s="2">
        <f t="shared" si="67"/>
        <v>0</v>
      </c>
      <c r="BA82" s="2">
        <f t="shared" si="67"/>
        <v>0</v>
      </c>
      <c r="BB82" s="2">
        <f t="shared" si="67"/>
        <v>0</v>
      </c>
      <c r="BC82" s="2">
        <f t="shared" si="67"/>
        <v>0</v>
      </c>
      <c r="BD82" s="2">
        <f t="shared" si="67"/>
        <v>0</v>
      </c>
      <c r="BE82" s="2">
        <f t="shared" si="67"/>
        <v>0</v>
      </c>
      <c r="BF82" s="2">
        <f t="shared" si="67"/>
        <v>0</v>
      </c>
      <c r="BG82" s="2">
        <f t="shared" si="67"/>
        <v>0</v>
      </c>
      <c r="BH82" s="2">
        <f t="shared" si="67"/>
        <v>0</v>
      </c>
      <c r="BI82" s="2">
        <f t="shared" si="67"/>
        <v>0</v>
      </c>
      <c r="BJ82" s="2">
        <f t="shared" si="67"/>
        <v>0</v>
      </c>
      <c r="BK82" s="2">
        <f t="shared" si="67"/>
        <v>0</v>
      </c>
      <c r="BL82" s="2">
        <f t="shared" si="67"/>
        <v>0</v>
      </c>
      <c r="BM82" s="2">
        <f t="shared" si="67"/>
        <v>0</v>
      </c>
      <c r="BN82" s="2">
        <f t="shared" si="67"/>
        <v>0</v>
      </c>
      <c r="BO82" s="2">
        <f t="shared" si="67"/>
        <v>0</v>
      </c>
      <c r="BP82" s="2">
        <f t="shared" si="67"/>
        <v>0</v>
      </c>
      <c r="BQ82" s="2">
        <f t="shared" si="67"/>
        <v>0</v>
      </c>
      <c r="BR82" s="2">
        <f t="shared" si="67"/>
        <v>0</v>
      </c>
      <c r="BS82" s="2">
        <f t="shared" si="67"/>
        <v>0</v>
      </c>
      <c r="BT82" s="2">
        <f t="shared" si="67"/>
        <v>0</v>
      </c>
      <c r="BU82" s="2">
        <f t="shared" si="67"/>
        <v>0</v>
      </c>
      <c r="BV82" s="2">
        <f t="shared" si="67"/>
        <v>0</v>
      </c>
      <c r="BW82" s="2">
        <f t="shared" si="67"/>
        <v>0</v>
      </c>
      <c r="BX82" s="2">
        <f t="shared" si="67"/>
        <v>0</v>
      </c>
      <c r="BY82" s="2">
        <f t="shared" si="67"/>
        <v>0</v>
      </c>
      <c r="BZ82" s="2">
        <f t="shared" si="67"/>
        <v>0</v>
      </c>
      <c r="CA82" s="2">
        <f aca="true" t="shared" si="68" ref="CA82:DF82">CA98</f>
        <v>4166.12</v>
      </c>
      <c r="CB82" s="2">
        <f t="shared" si="68"/>
        <v>0</v>
      </c>
      <c r="CC82" s="2">
        <f t="shared" si="68"/>
        <v>4166.12</v>
      </c>
      <c r="CD82" s="2">
        <f t="shared" si="68"/>
        <v>0</v>
      </c>
      <c r="CE82" s="2">
        <f t="shared" si="68"/>
        <v>187.12</v>
      </c>
      <c r="CF82" s="2">
        <f t="shared" si="68"/>
        <v>187.12</v>
      </c>
      <c r="CG82" s="2">
        <f t="shared" si="68"/>
        <v>0</v>
      </c>
      <c r="CH82" s="2">
        <f t="shared" si="68"/>
        <v>187.12</v>
      </c>
      <c r="CI82" s="2">
        <f t="shared" si="68"/>
        <v>0</v>
      </c>
      <c r="CJ82" s="2">
        <f t="shared" si="68"/>
        <v>0</v>
      </c>
      <c r="CK82" s="2">
        <f t="shared" si="68"/>
        <v>0</v>
      </c>
      <c r="CL82" s="2">
        <f t="shared" si="68"/>
        <v>0</v>
      </c>
      <c r="CM82" s="2">
        <f t="shared" si="68"/>
        <v>0</v>
      </c>
      <c r="CN82" s="2">
        <f t="shared" si="68"/>
        <v>0</v>
      </c>
      <c r="CO82" s="2">
        <f t="shared" si="68"/>
        <v>0</v>
      </c>
      <c r="CP82" s="2">
        <f t="shared" si="68"/>
        <v>0</v>
      </c>
      <c r="CQ82" s="2">
        <f t="shared" si="68"/>
        <v>0</v>
      </c>
      <c r="CR82" s="2">
        <f t="shared" si="68"/>
        <v>0</v>
      </c>
      <c r="CS82" s="2">
        <f t="shared" si="68"/>
        <v>0</v>
      </c>
      <c r="CT82" s="2">
        <f t="shared" si="68"/>
        <v>0</v>
      </c>
      <c r="CU82" s="2">
        <f t="shared" si="68"/>
        <v>0</v>
      </c>
      <c r="CV82" s="2">
        <f t="shared" si="68"/>
        <v>0</v>
      </c>
      <c r="CW82" s="2">
        <f t="shared" si="68"/>
        <v>0</v>
      </c>
      <c r="CX82" s="2">
        <f t="shared" si="68"/>
        <v>0</v>
      </c>
      <c r="CY82" s="2">
        <f t="shared" si="68"/>
        <v>0</v>
      </c>
      <c r="CZ82" s="2">
        <f t="shared" si="68"/>
        <v>0</v>
      </c>
      <c r="DA82" s="2">
        <f t="shared" si="68"/>
        <v>0</v>
      </c>
      <c r="DB82" s="2">
        <f t="shared" si="68"/>
        <v>0</v>
      </c>
      <c r="DC82" s="2">
        <f t="shared" si="68"/>
        <v>0</v>
      </c>
      <c r="DD82" s="2">
        <f t="shared" si="68"/>
        <v>0</v>
      </c>
      <c r="DE82" s="2">
        <f t="shared" si="68"/>
        <v>0</v>
      </c>
      <c r="DF82" s="2">
        <f t="shared" si="68"/>
        <v>0</v>
      </c>
      <c r="DG82" s="3">
        <f aca="true" t="shared" si="69" ref="DG82:EL82">DG98</f>
        <v>0</v>
      </c>
      <c r="DH82" s="3">
        <f t="shared" si="69"/>
        <v>0</v>
      </c>
      <c r="DI82" s="3">
        <f t="shared" si="69"/>
        <v>0</v>
      </c>
      <c r="DJ82" s="3">
        <f t="shared" si="69"/>
        <v>0</v>
      </c>
      <c r="DK82" s="3">
        <f t="shared" si="69"/>
        <v>0</v>
      </c>
      <c r="DL82" s="3">
        <f t="shared" si="69"/>
        <v>0</v>
      </c>
      <c r="DM82" s="3">
        <f t="shared" si="69"/>
        <v>0</v>
      </c>
      <c r="DN82" s="3">
        <f t="shared" si="69"/>
        <v>0</v>
      </c>
      <c r="DO82" s="3">
        <f t="shared" si="69"/>
        <v>0</v>
      </c>
      <c r="DP82" s="3">
        <f t="shared" si="69"/>
        <v>0</v>
      </c>
      <c r="DQ82" s="3">
        <f t="shared" si="69"/>
        <v>0</v>
      </c>
      <c r="DR82" s="3">
        <f t="shared" si="69"/>
        <v>0</v>
      </c>
      <c r="DS82" s="3">
        <f t="shared" si="69"/>
        <v>0</v>
      </c>
      <c r="DT82" s="3">
        <f t="shared" si="69"/>
        <v>0</v>
      </c>
      <c r="DU82" s="3">
        <f t="shared" si="69"/>
        <v>0</v>
      </c>
      <c r="DV82" s="3">
        <f t="shared" si="69"/>
        <v>0</v>
      </c>
      <c r="DW82" s="3">
        <f t="shared" si="69"/>
        <v>0</v>
      </c>
      <c r="DX82" s="3">
        <f t="shared" si="69"/>
        <v>0</v>
      </c>
      <c r="DY82" s="3">
        <f t="shared" si="69"/>
        <v>0</v>
      </c>
      <c r="DZ82" s="3">
        <f t="shared" si="69"/>
        <v>0</v>
      </c>
      <c r="EA82" s="3">
        <f t="shared" si="69"/>
        <v>0</v>
      </c>
      <c r="EB82" s="3">
        <f t="shared" si="69"/>
        <v>0</v>
      </c>
      <c r="EC82" s="3">
        <f t="shared" si="69"/>
        <v>0</v>
      </c>
      <c r="ED82" s="3">
        <f t="shared" si="69"/>
        <v>0</v>
      </c>
      <c r="EE82" s="3">
        <f t="shared" si="69"/>
        <v>0</v>
      </c>
      <c r="EF82" s="3">
        <f t="shared" si="69"/>
        <v>0</v>
      </c>
      <c r="EG82" s="3">
        <f t="shared" si="69"/>
        <v>0</v>
      </c>
      <c r="EH82" s="3">
        <f t="shared" si="69"/>
        <v>0</v>
      </c>
      <c r="EI82" s="3">
        <f t="shared" si="69"/>
        <v>0</v>
      </c>
      <c r="EJ82" s="3">
        <f t="shared" si="69"/>
        <v>0</v>
      </c>
      <c r="EK82" s="3">
        <f t="shared" si="69"/>
        <v>0</v>
      </c>
      <c r="EL82" s="3">
        <f t="shared" si="69"/>
        <v>0</v>
      </c>
      <c r="EM82" s="3">
        <f aca="true" t="shared" si="70" ref="EM82:FR82">EM98</f>
        <v>0</v>
      </c>
      <c r="EN82" s="3">
        <f t="shared" si="70"/>
        <v>0</v>
      </c>
      <c r="EO82" s="3">
        <f t="shared" si="70"/>
        <v>0</v>
      </c>
      <c r="EP82" s="3">
        <f t="shared" si="70"/>
        <v>0</v>
      </c>
      <c r="EQ82" s="3">
        <f t="shared" si="70"/>
        <v>0</v>
      </c>
      <c r="ER82" s="3">
        <f t="shared" si="70"/>
        <v>0</v>
      </c>
      <c r="ES82" s="3">
        <f t="shared" si="70"/>
        <v>0</v>
      </c>
      <c r="ET82" s="3">
        <f t="shared" si="70"/>
        <v>0</v>
      </c>
      <c r="EU82" s="3">
        <f t="shared" si="70"/>
        <v>0</v>
      </c>
      <c r="EV82" s="3">
        <f t="shared" si="70"/>
        <v>0</v>
      </c>
      <c r="EW82" s="3">
        <f t="shared" si="70"/>
        <v>0</v>
      </c>
      <c r="EX82" s="3">
        <f t="shared" si="70"/>
        <v>0</v>
      </c>
      <c r="EY82" s="3">
        <f t="shared" si="70"/>
        <v>0</v>
      </c>
      <c r="EZ82" s="3">
        <f t="shared" si="70"/>
        <v>0</v>
      </c>
      <c r="FA82" s="3">
        <f t="shared" si="70"/>
        <v>0</v>
      </c>
      <c r="FB82" s="3">
        <f t="shared" si="70"/>
        <v>0</v>
      </c>
      <c r="FC82" s="3">
        <f t="shared" si="70"/>
        <v>0</v>
      </c>
      <c r="FD82" s="3">
        <f t="shared" si="70"/>
        <v>0</v>
      </c>
      <c r="FE82" s="3">
        <f t="shared" si="70"/>
        <v>0</v>
      </c>
      <c r="FF82" s="3">
        <f t="shared" si="70"/>
        <v>0</v>
      </c>
      <c r="FG82" s="3">
        <f t="shared" si="70"/>
        <v>0</v>
      </c>
      <c r="FH82" s="3">
        <f t="shared" si="70"/>
        <v>0</v>
      </c>
      <c r="FI82" s="3">
        <f t="shared" si="70"/>
        <v>0</v>
      </c>
      <c r="FJ82" s="3">
        <f t="shared" si="70"/>
        <v>0</v>
      </c>
      <c r="FK82" s="3">
        <f t="shared" si="70"/>
        <v>0</v>
      </c>
      <c r="FL82" s="3">
        <f t="shared" si="70"/>
        <v>0</v>
      </c>
      <c r="FM82" s="3">
        <f t="shared" si="70"/>
        <v>0</v>
      </c>
      <c r="FN82" s="3">
        <f t="shared" si="70"/>
        <v>0</v>
      </c>
      <c r="FO82" s="3">
        <f t="shared" si="70"/>
        <v>0</v>
      </c>
      <c r="FP82" s="3">
        <f t="shared" si="70"/>
        <v>0</v>
      </c>
      <c r="FQ82" s="3">
        <f t="shared" si="70"/>
        <v>0</v>
      </c>
      <c r="FR82" s="3">
        <f t="shared" si="70"/>
        <v>0</v>
      </c>
      <c r="FS82" s="3">
        <f aca="true" t="shared" si="71" ref="FS82:GX82">FS98</f>
        <v>0</v>
      </c>
      <c r="FT82" s="3">
        <f t="shared" si="71"/>
        <v>0</v>
      </c>
      <c r="FU82" s="3">
        <f t="shared" si="71"/>
        <v>0</v>
      </c>
      <c r="FV82" s="3">
        <f t="shared" si="71"/>
        <v>0</v>
      </c>
      <c r="FW82" s="3">
        <f t="shared" si="71"/>
        <v>0</v>
      </c>
      <c r="FX82" s="3">
        <f t="shared" si="71"/>
        <v>0</v>
      </c>
      <c r="FY82" s="3">
        <f t="shared" si="71"/>
        <v>0</v>
      </c>
      <c r="FZ82" s="3">
        <f t="shared" si="71"/>
        <v>0</v>
      </c>
      <c r="GA82" s="3">
        <f t="shared" si="71"/>
        <v>0</v>
      </c>
      <c r="GB82" s="3">
        <f t="shared" si="71"/>
        <v>0</v>
      </c>
      <c r="GC82" s="3">
        <f t="shared" si="71"/>
        <v>0</v>
      </c>
      <c r="GD82" s="3">
        <f t="shared" si="71"/>
        <v>0</v>
      </c>
      <c r="GE82" s="3">
        <f t="shared" si="71"/>
        <v>0</v>
      </c>
      <c r="GF82" s="3">
        <f t="shared" si="71"/>
        <v>0</v>
      </c>
      <c r="GG82" s="3">
        <f t="shared" si="71"/>
        <v>0</v>
      </c>
      <c r="GH82" s="3">
        <f t="shared" si="71"/>
        <v>0</v>
      </c>
      <c r="GI82" s="3">
        <f t="shared" si="71"/>
        <v>0</v>
      </c>
      <c r="GJ82" s="3">
        <f t="shared" si="71"/>
        <v>0</v>
      </c>
      <c r="GK82" s="3">
        <f t="shared" si="71"/>
        <v>0</v>
      </c>
      <c r="GL82" s="3">
        <f t="shared" si="71"/>
        <v>0</v>
      </c>
      <c r="GM82" s="3">
        <f t="shared" si="71"/>
        <v>0</v>
      </c>
      <c r="GN82" s="3">
        <f t="shared" si="71"/>
        <v>0</v>
      </c>
      <c r="GO82" s="3">
        <f t="shared" si="71"/>
        <v>0</v>
      </c>
      <c r="GP82" s="3">
        <f t="shared" si="71"/>
        <v>0</v>
      </c>
      <c r="GQ82" s="3">
        <f t="shared" si="71"/>
        <v>0</v>
      </c>
      <c r="GR82" s="3">
        <f t="shared" si="71"/>
        <v>0</v>
      </c>
      <c r="GS82" s="3">
        <f t="shared" si="71"/>
        <v>0</v>
      </c>
      <c r="GT82" s="3">
        <f t="shared" si="71"/>
        <v>0</v>
      </c>
      <c r="GU82" s="3">
        <f t="shared" si="71"/>
        <v>0</v>
      </c>
      <c r="GV82" s="3">
        <f t="shared" si="71"/>
        <v>0</v>
      </c>
      <c r="GW82" s="3">
        <f t="shared" si="71"/>
        <v>0</v>
      </c>
      <c r="GX82" s="3">
        <f t="shared" si="71"/>
        <v>0</v>
      </c>
    </row>
    <row r="84" spans="1:245" ht="12.75">
      <c r="A84">
        <v>17</v>
      </c>
      <c r="B84">
        <v>1</v>
      </c>
      <c r="C84">
        <f>ROW(SmtRes!A39)</f>
        <v>39</v>
      </c>
      <c r="D84">
        <f>ROW(EtalonRes!A39)</f>
        <v>39</v>
      </c>
      <c r="E84" t="s">
        <v>166</v>
      </c>
      <c r="F84" t="s">
        <v>167</v>
      </c>
      <c r="G84" t="s">
        <v>168</v>
      </c>
      <c r="H84" t="s">
        <v>169</v>
      </c>
      <c r="I84">
        <f>ROUND(ROUND(111/100,4),7)</f>
        <v>1.11</v>
      </c>
      <c r="J84">
        <v>0</v>
      </c>
      <c r="K84">
        <f>ROUND(ROUND(111/100,4),7)</f>
        <v>1.11</v>
      </c>
      <c r="O84">
        <f aca="true" t="shared" si="72" ref="O84:O96">ROUND(CP84,2)</f>
        <v>559.42</v>
      </c>
      <c r="P84">
        <f aca="true" t="shared" si="73" ref="P84:P96">ROUND(CQ84*I84,2)</f>
        <v>1.1</v>
      </c>
      <c r="Q84">
        <f aca="true" t="shared" si="74" ref="Q84:Q96">ROUND(CR84*I84,2)</f>
        <v>482.41</v>
      </c>
      <c r="R84">
        <f aca="true" t="shared" si="75" ref="R84:R96">ROUND(CS84*I84,2)</f>
        <v>0</v>
      </c>
      <c r="S84">
        <f aca="true" t="shared" si="76" ref="S84:S96">ROUND(CT84*I84,2)</f>
        <v>75.91</v>
      </c>
      <c r="T84">
        <f aca="true" t="shared" si="77" ref="T84:T96">ROUND(CU84*I84,2)</f>
        <v>0</v>
      </c>
      <c r="U84">
        <f aca="true" t="shared" si="78" ref="U84:U96">CV84*I84</f>
        <v>8.11854</v>
      </c>
      <c r="V84">
        <f aca="true" t="shared" si="79" ref="V84:V96">CW84*I84</f>
        <v>0</v>
      </c>
      <c r="W84">
        <f aca="true" t="shared" si="80" ref="W84:W96">ROUND(CX84*I84,2)</f>
        <v>0</v>
      </c>
      <c r="X84">
        <f aca="true" t="shared" si="81" ref="X84:X96">ROUND(CY84,2)</f>
        <v>73.63</v>
      </c>
      <c r="Y84">
        <f aca="true" t="shared" si="82" ref="Y84:Y96">ROUND(CZ84,2)</f>
        <v>38.71</v>
      </c>
      <c r="AA84">
        <v>44571020</v>
      </c>
      <c r="AB84">
        <f aca="true" t="shared" si="83" ref="AB84:AB96">ROUND((AC84+AD84+AF84),2)</f>
        <v>503.98</v>
      </c>
      <c r="AC84">
        <f aca="true" t="shared" si="84" ref="AC84:AC96">ROUND((ES84),2)</f>
        <v>0.99</v>
      </c>
      <c r="AD84">
        <f>ROUND(((((ET84*ROUND((1.2*1.15),7)))-((EU84*ROUND((1.2*1.15),7))))+AE84),2)</f>
        <v>434.6</v>
      </c>
      <c r="AE84">
        <f>ROUND(((EU84*ROUND((1.2*1.15),7))),2)</f>
        <v>0</v>
      </c>
      <c r="AF84">
        <f>ROUND(((EV84*ROUND((1.2*1.15),7))),2)</f>
        <v>68.39</v>
      </c>
      <c r="AG84">
        <f aca="true" t="shared" si="85" ref="AG84:AG96">ROUND((AP84),2)</f>
        <v>0</v>
      </c>
      <c r="AH84">
        <f>((EW84*ROUND((1.2*1.15),7)))</f>
        <v>7.313999999999999</v>
      </c>
      <c r="AI84">
        <f>((EX84*ROUND((1.2*1.15),7)))</f>
        <v>0</v>
      </c>
      <c r="AJ84">
        <f aca="true" t="shared" si="86" ref="AJ84:AJ96">(AS84)</f>
        <v>0</v>
      </c>
      <c r="AK84">
        <v>365.48</v>
      </c>
      <c r="AL84">
        <v>0.99</v>
      </c>
      <c r="AM84">
        <v>314.93</v>
      </c>
      <c r="AN84">
        <v>0</v>
      </c>
      <c r="AO84">
        <v>49.56</v>
      </c>
      <c r="AP84">
        <v>0</v>
      </c>
      <c r="AQ84">
        <v>5.3</v>
      </c>
      <c r="AR84">
        <v>0</v>
      </c>
      <c r="AS84">
        <v>0</v>
      </c>
      <c r="AT84">
        <v>97</v>
      </c>
      <c r="AU84">
        <v>51</v>
      </c>
      <c r="AV84">
        <v>1</v>
      </c>
      <c r="AW84">
        <v>1</v>
      </c>
      <c r="AZ84">
        <v>1</v>
      </c>
      <c r="BA84">
        <v>28.93</v>
      </c>
      <c r="BB84">
        <v>1</v>
      </c>
      <c r="BC84">
        <v>1</v>
      </c>
      <c r="BH84">
        <v>0</v>
      </c>
      <c r="BI84">
        <v>2</v>
      </c>
      <c r="BJ84" t="s">
        <v>170</v>
      </c>
      <c r="BM84">
        <v>108001</v>
      </c>
      <c r="BN84">
        <v>0</v>
      </c>
      <c r="BP84">
        <v>0</v>
      </c>
      <c r="BQ84">
        <v>3</v>
      </c>
      <c r="BR84">
        <v>0</v>
      </c>
      <c r="BS84">
        <v>28.93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97</v>
      </c>
      <c r="CA84">
        <v>51</v>
      </c>
      <c r="CE84">
        <v>0</v>
      </c>
      <c r="CF84">
        <v>0</v>
      </c>
      <c r="CG84">
        <v>0</v>
      </c>
      <c r="CM84">
        <v>0</v>
      </c>
      <c r="CO84">
        <v>0</v>
      </c>
      <c r="CP84">
        <f aca="true" t="shared" si="87" ref="CP84:CP96">(P84+Q84+S84)</f>
        <v>559.4200000000001</v>
      </c>
      <c r="CQ84">
        <f aca="true" t="shared" si="88" ref="CQ84:CQ96">AC84*BC84</f>
        <v>0.99</v>
      </c>
      <c r="CR84">
        <f aca="true" t="shared" si="89" ref="CR84:CR96">AD84*BB84</f>
        <v>434.6</v>
      </c>
      <c r="CS84">
        <f aca="true" t="shared" si="90" ref="CS84:CS96">AE84</f>
        <v>0</v>
      </c>
      <c r="CT84">
        <f aca="true" t="shared" si="91" ref="CT84:CT96">AF84</f>
        <v>68.39</v>
      </c>
      <c r="CU84">
        <f aca="true" t="shared" si="92" ref="CU84:CU96">AG84</f>
        <v>0</v>
      </c>
      <c r="CV84">
        <f aca="true" t="shared" si="93" ref="CV84:CV96">AH84</f>
        <v>7.313999999999999</v>
      </c>
      <c r="CW84">
        <f aca="true" t="shared" si="94" ref="CW84:CW96">AI84</f>
        <v>0</v>
      </c>
      <c r="CX84">
        <f aca="true" t="shared" si="95" ref="CX84:CX96">AJ84</f>
        <v>0</v>
      </c>
      <c r="CY84">
        <f aca="true" t="shared" si="96" ref="CY84:CY96">(((S84+R84)*AT84)/100)</f>
        <v>73.6327</v>
      </c>
      <c r="CZ84">
        <f aca="true" t="shared" si="97" ref="CZ84:CZ96">(((S84+R84)*AU84)/100)</f>
        <v>38.7141</v>
      </c>
      <c r="DE84" t="s">
        <v>22</v>
      </c>
      <c r="DF84" t="s">
        <v>22</v>
      </c>
      <c r="DG84" t="s">
        <v>22</v>
      </c>
      <c r="DI84" t="s">
        <v>22</v>
      </c>
      <c r="DJ84" t="s">
        <v>22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169</v>
      </c>
      <c r="DW84" t="s">
        <v>169</v>
      </c>
      <c r="DX84">
        <v>1</v>
      </c>
      <c r="EE84">
        <v>37975922</v>
      </c>
      <c r="EF84">
        <v>3</v>
      </c>
      <c r="EG84" t="s">
        <v>165</v>
      </c>
      <c r="EH84">
        <v>0</v>
      </c>
      <c r="EJ84">
        <v>2</v>
      </c>
      <c r="EK84">
        <v>108001</v>
      </c>
      <c r="EL84" t="s">
        <v>171</v>
      </c>
      <c r="EM84" t="s">
        <v>172</v>
      </c>
      <c r="EQ84">
        <v>131072</v>
      </c>
      <c r="ER84">
        <v>365.48</v>
      </c>
      <c r="ES84">
        <v>0.99</v>
      </c>
      <c r="ET84">
        <v>314.93</v>
      </c>
      <c r="EU84">
        <v>0</v>
      </c>
      <c r="EV84">
        <v>49.56</v>
      </c>
      <c r="EW84">
        <v>5.3</v>
      </c>
      <c r="EX84">
        <v>0</v>
      </c>
      <c r="EY84">
        <v>0</v>
      </c>
      <c r="FQ84">
        <v>0</v>
      </c>
      <c r="FR84">
        <f aca="true" t="shared" si="98" ref="FR84:FR96">ROUND(IF(AND(BH84=3,BI84=3),P84,0),2)</f>
        <v>0</v>
      </c>
      <c r="FS84">
        <v>0</v>
      </c>
      <c r="FX84">
        <v>97</v>
      </c>
      <c r="FY84">
        <v>51</v>
      </c>
      <c r="GD84">
        <v>1</v>
      </c>
      <c r="GF84">
        <v>1149947018</v>
      </c>
      <c r="GG84">
        <v>2</v>
      </c>
      <c r="GH84">
        <v>1</v>
      </c>
      <c r="GI84">
        <v>4</v>
      </c>
      <c r="GJ84">
        <v>0</v>
      </c>
      <c r="GK84">
        <v>0</v>
      </c>
      <c r="GL84">
        <f aca="true" t="shared" si="99" ref="GL84:GL96">ROUND(IF(AND(BH84=3,BI84=3,FS84&lt;&gt;0),P84,0),2)</f>
        <v>0</v>
      </c>
      <c r="GM84">
        <f aca="true" t="shared" si="100" ref="GM84:GM96">ROUND(O84+X84+Y84,2)+GX84</f>
        <v>671.76</v>
      </c>
      <c r="GN84">
        <f aca="true" t="shared" si="101" ref="GN84:GN96">IF(OR(BI84=0,BI84=1),ROUND(O84+X84+Y84,2),0)</f>
        <v>0</v>
      </c>
      <c r="GO84">
        <f aca="true" t="shared" si="102" ref="GO84:GO96">IF(BI84=2,ROUND(O84+X84+Y84,2),0)</f>
        <v>671.76</v>
      </c>
      <c r="GP84">
        <f aca="true" t="shared" si="103" ref="GP84:GP96">IF(BI84=4,ROUND(O84+X84+Y84,2)+GX84,0)</f>
        <v>0</v>
      </c>
      <c r="GR84">
        <v>0</v>
      </c>
      <c r="GS84">
        <v>3</v>
      </c>
      <c r="GT84">
        <v>0</v>
      </c>
      <c r="GV84">
        <f aca="true" t="shared" si="104" ref="GV84:GV96">ROUND((GT84),2)</f>
        <v>0</v>
      </c>
      <c r="GW84">
        <v>1</v>
      </c>
      <c r="GX84">
        <f aca="true" t="shared" si="105" ref="GX84:GX96">ROUND(HC84*I84,2)</f>
        <v>0</v>
      </c>
      <c r="HA84">
        <v>0</v>
      </c>
      <c r="HB84">
        <v>0</v>
      </c>
      <c r="HC84">
        <f aca="true" t="shared" si="106" ref="HC84:HC96">GV84*GW84</f>
        <v>0</v>
      </c>
      <c r="HI84">
        <f aca="true" t="shared" si="107" ref="HI84:HI96">ROUND(R84*BS84,2)</f>
        <v>0</v>
      </c>
      <c r="HJ84">
        <f aca="true" t="shared" si="108" ref="HJ84:HJ96">ROUND(S84*BA84,2)</f>
        <v>2196.08</v>
      </c>
      <c r="HK84">
        <f aca="true" t="shared" si="109" ref="HK84:HK96">ROUND((((HJ84+HI84)*AT84)/100),2)</f>
        <v>2130.2</v>
      </c>
      <c r="HL84">
        <f aca="true" t="shared" si="110" ref="HL84:HL96">ROUND((((HJ84+HI84)*AU84)/100),2)</f>
        <v>1120</v>
      </c>
      <c r="HN84" t="s">
        <v>173</v>
      </c>
      <c r="HO84" t="s">
        <v>174</v>
      </c>
      <c r="HP84" t="s">
        <v>171</v>
      </c>
      <c r="HQ84" t="s">
        <v>171</v>
      </c>
      <c r="IK84">
        <v>0</v>
      </c>
    </row>
    <row r="85" spans="1:245" ht="12.75">
      <c r="A85">
        <v>17</v>
      </c>
      <c r="B85">
        <v>1</v>
      </c>
      <c r="C85">
        <f>ROW(SmtRes!A44)</f>
        <v>44</v>
      </c>
      <c r="D85">
        <f>ROW(EtalonRes!A44)</f>
        <v>44</v>
      </c>
      <c r="E85" t="s">
        <v>175</v>
      </c>
      <c r="F85" t="s">
        <v>176</v>
      </c>
      <c r="G85" t="s">
        <v>177</v>
      </c>
      <c r="H85" t="s">
        <v>169</v>
      </c>
      <c r="I85">
        <f>ROUND(ROUND(85/100,4),7)</f>
        <v>0.85</v>
      </c>
      <c r="J85">
        <v>0</v>
      </c>
      <c r="K85">
        <f>ROUND(ROUND(85/100,4),7)</f>
        <v>0.85</v>
      </c>
      <c r="O85">
        <f t="shared" si="72"/>
        <v>539.86</v>
      </c>
      <c r="P85">
        <f t="shared" si="73"/>
        <v>0.82</v>
      </c>
      <c r="Q85">
        <f t="shared" si="74"/>
        <v>481.9</v>
      </c>
      <c r="R85">
        <f t="shared" si="75"/>
        <v>26.63</v>
      </c>
      <c r="S85">
        <f t="shared" si="76"/>
        <v>57.14</v>
      </c>
      <c r="T85">
        <f t="shared" si="77"/>
        <v>0</v>
      </c>
      <c r="U85">
        <f t="shared" si="78"/>
        <v>6.111329999999999</v>
      </c>
      <c r="V85">
        <f t="shared" si="79"/>
        <v>2.02929</v>
      </c>
      <c r="W85">
        <f t="shared" si="80"/>
        <v>0</v>
      </c>
      <c r="X85">
        <f t="shared" si="81"/>
        <v>81.26</v>
      </c>
      <c r="Y85">
        <f t="shared" si="82"/>
        <v>42.72</v>
      </c>
      <c r="AA85">
        <v>44571020</v>
      </c>
      <c r="AB85">
        <f t="shared" si="83"/>
        <v>635.13</v>
      </c>
      <c r="AC85">
        <f t="shared" si="84"/>
        <v>0.97</v>
      </c>
      <c r="AD85">
        <f>ROUND(((((ET85*ROUND((1.2*1.15),7)))-((EU85*ROUND((1.2*1.15),7))))+AE85),2)</f>
        <v>566.94</v>
      </c>
      <c r="AE85">
        <f>ROUND(((EU85*ROUND((1.2*1.15),7))),2)</f>
        <v>31.33</v>
      </c>
      <c r="AF85">
        <f>ROUND(((EV85*ROUND((1.2*1.15),7))),2)</f>
        <v>67.22</v>
      </c>
      <c r="AG85">
        <f t="shared" si="85"/>
        <v>0</v>
      </c>
      <c r="AH85">
        <f>((EW85*ROUND((1.2*1.15),7)))</f>
        <v>7.189799999999999</v>
      </c>
      <c r="AI85">
        <f>((EX85*ROUND((1.2*1.15),7)))</f>
        <v>2.3874</v>
      </c>
      <c r="AJ85">
        <f t="shared" si="86"/>
        <v>0</v>
      </c>
      <c r="AK85">
        <v>460.5</v>
      </c>
      <c r="AL85">
        <v>0.97</v>
      </c>
      <c r="AM85">
        <v>410.82</v>
      </c>
      <c r="AN85">
        <v>22.7</v>
      </c>
      <c r="AO85">
        <v>48.71</v>
      </c>
      <c r="AP85">
        <v>0</v>
      </c>
      <c r="AQ85">
        <v>5.21</v>
      </c>
      <c r="AR85">
        <v>1.73</v>
      </c>
      <c r="AS85">
        <v>0</v>
      </c>
      <c r="AT85">
        <v>97</v>
      </c>
      <c r="AU85">
        <v>51</v>
      </c>
      <c r="AV85">
        <v>1</v>
      </c>
      <c r="AW85">
        <v>1</v>
      </c>
      <c r="AZ85">
        <v>1</v>
      </c>
      <c r="BA85">
        <v>28.93</v>
      </c>
      <c r="BB85">
        <v>1</v>
      </c>
      <c r="BC85">
        <v>1</v>
      </c>
      <c r="BH85">
        <v>0</v>
      </c>
      <c r="BI85">
        <v>2</v>
      </c>
      <c r="BJ85" t="s">
        <v>178</v>
      </c>
      <c r="BM85">
        <v>108001</v>
      </c>
      <c r="BN85">
        <v>0</v>
      </c>
      <c r="BP85">
        <v>0</v>
      </c>
      <c r="BQ85">
        <v>3</v>
      </c>
      <c r="BR85">
        <v>0</v>
      </c>
      <c r="BS85">
        <v>28.93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97</v>
      </c>
      <c r="CA85">
        <v>51</v>
      </c>
      <c r="CE85">
        <v>0</v>
      </c>
      <c r="CF85">
        <v>0</v>
      </c>
      <c r="CG85">
        <v>0</v>
      </c>
      <c r="CM85">
        <v>0</v>
      </c>
      <c r="CO85">
        <v>0</v>
      </c>
      <c r="CP85">
        <f t="shared" si="87"/>
        <v>539.86</v>
      </c>
      <c r="CQ85">
        <f t="shared" si="88"/>
        <v>0.97</v>
      </c>
      <c r="CR85">
        <f t="shared" si="89"/>
        <v>566.94</v>
      </c>
      <c r="CS85">
        <f t="shared" si="90"/>
        <v>31.33</v>
      </c>
      <c r="CT85">
        <f t="shared" si="91"/>
        <v>67.22</v>
      </c>
      <c r="CU85">
        <f t="shared" si="92"/>
        <v>0</v>
      </c>
      <c r="CV85">
        <f t="shared" si="93"/>
        <v>7.189799999999999</v>
      </c>
      <c r="CW85">
        <f t="shared" si="94"/>
        <v>2.3874</v>
      </c>
      <c r="CX85">
        <f t="shared" si="95"/>
        <v>0</v>
      </c>
      <c r="CY85">
        <f t="shared" si="96"/>
        <v>81.2569</v>
      </c>
      <c r="CZ85">
        <f t="shared" si="97"/>
        <v>42.722699999999996</v>
      </c>
      <c r="DE85" t="s">
        <v>22</v>
      </c>
      <c r="DF85" t="s">
        <v>22</v>
      </c>
      <c r="DG85" t="s">
        <v>22</v>
      </c>
      <c r="DI85" t="s">
        <v>22</v>
      </c>
      <c r="DJ85" t="s">
        <v>22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169</v>
      </c>
      <c r="DW85" t="s">
        <v>169</v>
      </c>
      <c r="DX85">
        <v>1</v>
      </c>
      <c r="EE85">
        <v>37975922</v>
      </c>
      <c r="EF85">
        <v>3</v>
      </c>
      <c r="EG85" t="s">
        <v>165</v>
      </c>
      <c r="EH85">
        <v>0</v>
      </c>
      <c r="EJ85">
        <v>2</v>
      </c>
      <c r="EK85">
        <v>108001</v>
      </c>
      <c r="EL85" t="s">
        <v>171</v>
      </c>
      <c r="EM85" t="s">
        <v>172</v>
      </c>
      <c r="EQ85">
        <v>131072</v>
      </c>
      <c r="ER85">
        <v>460.5</v>
      </c>
      <c r="ES85">
        <v>0.97</v>
      </c>
      <c r="ET85">
        <v>410.82</v>
      </c>
      <c r="EU85">
        <v>22.7</v>
      </c>
      <c r="EV85">
        <v>48.71</v>
      </c>
      <c r="EW85">
        <v>5.21</v>
      </c>
      <c r="EX85">
        <v>1.73</v>
      </c>
      <c r="EY85">
        <v>0</v>
      </c>
      <c r="FQ85">
        <v>0</v>
      </c>
      <c r="FR85">
        <f t="shared" si="98"/>
        <v>0</v>
      </c>
      <c r="FS85">
        <v>0</v>
      </c>
      <c r="FX85">
        <v>97</v>
      </c>
      <c r="FY85">
        <v>51</v>
      </c>
      <c r="GD85">
        <v>1</v>
      </c>
      <c r="GF85">
        <v>-26547895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99"/>
        <v>0</v>
      </c>
      <c r="GM85">
        <f t="shared" si="100"/>
        <v>663.84</v>
      </c>
      <c r="GN85">
        <f t="shared" si="101"/>
        <v>0</v>
      </c>
      <c r="GO85">
        <f t="shared" si="102"/>
        <v>663.84</v>
      </c>
      <c r="GP85">
        <f t="shared" si="103"/>
        <v>0</v>
      </c>
      <c r="GR85">
        <v>0</v>
      </c>
      <c r="GS85">
        <v>3</v>
      </c>
      <c r="GT85">
        <v>0</v>
      </c>
      <c r="GV85">
        <f t="shared" si="104"/>
        <v>0</v>
      </c>
      <c r="GW85">
        <v>1</v>
      </c>
      <c r="GX85">
        <f t="shared" si="105"/>
        <v>0</v>
      </c>
      <c r="HA85">
        <v>0</v>
      </c>
      <c r="HB85">
        <v>0</v>
      </c>
      <c r="HC85">
        <f t="shared" si="106"/>
        <v>0</v>
      </c>
      <c r="HI85">
        <f t="shared" si="107"/>
        <v>770.41</v>
      </c>
      <c r="HJ85">
        <f t="shared" si="108"/>
        <v>1653.06</v>
      </c>
      <c r="HK85">
        <f t="shared" si="109"/>
        <v>2350.77</v>
      </c>
      <c r="HL85">
        <f t="shared" si="110"/>
        <v>1235.97</v>
      </c>
      <c r="HN85" t="s">
        <v>173</v>
      </c>
      <c r="HO85" t="s">
        <v>174</v>
      </c>
      <c r="HP85" t="s">
        <v>171</v>
      </c>
      <c r="HQ85" t="s">
        <v>171</v>
      </c>
      <c r="IK85">
        <v>0</v>
      </c>
    </row>
    <row r="86" spans="1:245" ht="12.75">
      <c r="A86">
        <v>17</v>
      </c>
      <c r="B86">
        <v>1</v>
      </c>
      <c r="C86">
        <f>ROW(SmtRes!A56)</f>
        <v>56</v>
      </c>
      <c r="D86">
        <f>ROW(EtalonRes!A56)</f>
        <v>56</v>
      </c>
      <c r="E86" t="s">
        <v>179</v>
      </c>
      <c r="F86" t="s">
        <v>180</v>
      </c>
      <c r="G86" t="s">
        <v>181</v>
      </c>
      <c r="H86" t="s">
        <v>169</v>
      </c>
      <c r="I86">
        <f>ROUND(ROUND(92/100,4),7)</f>
        <v>0.92</v>
      </c>
      <c r="J86">
        <v>0</v>
      </c>
      <c r="K86">
        <f>ROUND(ROUND(92/100,4),7)</f>
        <v>0.92</v>
      </c>
      <c r="O86">
        <f t="shared" si="72"/>
        <v>378.59</v>
      </c>
      <c r="P86">
        <f t="shared" si="73"/>
        <v>88.87</v>
      </c>
      <c r="Q86">
        <f t="shared" si="74"/>
        <v>159.61</v>
      </c>
      <c r="R86">
        <f t="shared" si="75"/>
        <v>7.49</v>
      </c>
      <c r="S86">
        <f t="shared" si="76"/>
        <v>130.11</v>
      </c>
      <c r="T86">
        <f t="shared" si="77"/>
        <v>0</v>
      </c>
      <c r="U86">
        <f t="shared" si="78"/>
        <v>13.914816000000002</v>
      </c>
      <c r="V86">
        <f t="shared" si="79"/>
        <v>1.14264</v>
      </c>
      <c r="W86">
        <f t="shared" si="80"/>
        <v>0</v>
      </c>
      <c r="X86">
        <f t="shared" si="81"/>
        <v>133.47</v>
      </c>
      <c r="Y86">
        <f t="shared" si="82"/>
        <v>70.18</v>
      </c>
      <c r="AA86">
        <v>44571020</v>
      </c>
      <c r="AB86">
        <f t="shared" si="83"/>
        <v>411.51</v>
      </c>
      <c r="AC86">
        <f t="shared" si="84"/>
        <v>96.6</v>
      </c>
      <c r="AD86">
        <f>ROUND(((((ET86*ROUND((1.15*1.2),7)))-((EU86*ROUND((1.15*1.2),7))))+AE86),2)</f>
        <v>173.49</v>
      </c>
      <c r="AE86">
        <f>ROUND(((EU86*ROUND((1.15*1.2),7))),2)</f>
        <v>8.14</v>
      </c>
      <c r="AF86">
        <f>ROUND(((EV86*ROUND((1.15*1.2),7))),2)</f>
        <v>141.42</v>
      </c>
      <c r="AG86">
        <f t="shared" si="85"/>
        <v>0</v>
      </c>
      <c r="AH86">
        <f>((EW86*ROUND((1.15*1.2),7)))</f>
        <v>15.1248</v>
      </c>
      <c r="AI86">
        <f>((EX86*ROUND((1.15*1.2),7)))</f>
        <v>1.242</v>
      </c>
      <c r="AJ86">
        <f t="shared" si="86"/>
        <v>0</v>
      </c>
      <c r="AK86">
        <v>324.8</v>
      </c>
      <c r="AL86">
        <v>96.6</v>
      </c>
      <c r="AM86">
        <v>125.72</v>
      </c>
      <c r="AN86">
        <v>5.9</v>
      </c>
      <c r="AO86">
        <v>102.48</v>
      </c>
      <c r="AP86">
        <v>0</v>
      </c>
      <c r="AQ86">
        <v>10.96</v>
      </c>
      <c r="AR86">
        <v>0.9</v>
      </c>
      <c r="AS86">
        <v>0</v>
      </c>
      <c r="AT86">
        <v>97</v>
      </c>
      <c r="AU86">
        <v>51</v>
      </c>
      <c r="AV86">
        <v>1</v>
      </c>
      <c r="AW86">
        <v>1</v>
      </c>
      <c r="AZ86">
        <v>1</v>
      </c>
      <c r="BA86">
        <v>28.93</v>
      </c>
      <c r="BB86">
        <v>1</v>
      </c>
      <c r="BC86">
        <v>1</v>
      </c>
      <c r="BH86">
        <v>0</v>
      </c>
      <c r="BI86">
        <v>2</v>
      </c>
      <c r="BJ86" t="s">
        <v>182</v>
      </c>
      <c r="BM86">
        <v>108001</v>
      </c>
      <c r="BN86">
        <v>0</v>
      </c>
      <c r="BP86">
        <v>0</v>
      </c>
      <c r="BQ86">
        <v>3</v>
      </c>
      <c r="BR86">
        <v>0</v>
      </c>
      <c r="BS86">
        <v>28.93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97</v>
      </c>
      <c r="CA86">
        <v>51</v>
      </c>
      <c r="CE86">
        <v>0</v>
      </c>
      <c r="CF86">
        <v>0</v>
      </c>
      <c r="CG86">
        <v>0</v>
      </c>
      <c r="CM86">
        <v>0</v>
      </c>
      <c r="CO86">
        <v>0</v>
      </c>
      <c r="CP86">
        <f t="shared" si="87"/>
        <v>378.59000000000003</v>
      </c>
      <c r="CQ86">
        <f t="shared" si="88"/>
        <v>96.6</v>
      </c>
      <c r="CR86">
        <f t="shared" si="89"/>
        <v>173.49</v>
      </c>
      <c r="CS86">
        <f t="shared" si="90"/>
        <v>8.14</v>
      </c>
      <c r="CT86">
        <f t="shared" si="91"/>
        <v>141.42</v>
      </c>
      <c r="CU86">
        <f t="shared" si="92"/>
        <v>0</v>
      </c>
      <c r="CV86">
        <f t="shared" si="93"/>
        <v>15.1248</v>
      </c>
      <c r="CW86">
        <f t="shared" si="94"/>
        <v>1.242</v>
      </c>
      <c r="CX86">
        <f t="shared" si="95"/>
        <v>0</v>
      </c>
      <c r="CY86">
        <f t="shared" si="96"/>
        <v>133.47200000000004</v>
      </c>
      <c r="CZ86">
        <f t="shared" si="97"/>
        <v>70.17600000000002</v>
      </c>
      <c r="DE86" t="s">
        <v>86</v>
      </c>
      <c r="DF86" t="s">
        <v>86</v>
      </c>
      <c r="DG86" t="s">
        <v>86</v>
      </c>
      <c r="DI86" t="s">
        <v>86</v>
      </c>
      <c r="DJ86" t="s">
        <v>86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169</v>
      </c>
      <c r="DW86" t="s">
        <v>169</v>
      </c>
      <c r="DX86">
        <v>1</v>
      </c>
      <c r="EE86">
        <v>37975922</v>
      </c>
      <c r="EF86">
        <v>3</v>
      </c>
      <c r="EG86" t="s">
        <v>165</v>
      </c>
      <c r="EH86">
        <v>0</v>
      </c>
      <c r="EJ86">
        <v>2</v>
      </c>
      <c r="EK86">
        <v>108001</v>
      </c>
      <c r="EL86" t="s">
        <v>171</v>
      </c>
      <c r="EM86" t="s">
        <v>172</v>
      </c>
      <c r="EQ86">
        <v>131072</v>
      </c>
      <c r="ER86">
        <v>324.8</v>
      </c>
      <c r="ES86">
        <v>96.6</v>
      </c>
      <c r="ET86">
        <v>125.72</v>
      </c>
      <c r="EU86">
        <v>5.9</v>
      </c>
      <c r="EV86">
        <v>102.48</v>
      </c>
      <c r="EW86">
        <v>10.96</v>
      </c>
      <c r="EX86">
        <v>0.9</v>
      </c>
      <c r="EY86">
        <v>0</v>
      </c>
      <c r="FQ86">
        <v>0</v>
      </c>
      <c r="FR86">
        <f t="shared" si="98"/>
        <v>0</v>
      </c>
      <c r="FS86">
        <v>0</v>
      </c>
      <c r="FX86">
        <v>97</v>
      </c>
      <c r="FY86">
        <v>51</v>
      </c>
      <c r="GD86">
        <v>1</v>
      </c>
      <c r="GF86">
        <v>-22904879</v>
      </c>
      <c r="GG86">
        <v>2</v>
      </c>
      <c r="GH86">
        <v>1</v>
      </c>
      <c r="GI86">
        <v>4</v>
      </c>
      <c r="GJ86">
        <v>0</v>
      </c>
      <c r="GK86">
        <v>0</v>
      </c>
      <c r="GL86">
        <f t="shared" si="99"/>
        <v>0</v>
      </c>
      <c r="GM86">
        <f t="shared" si="100"/>
        <v>582.24</v>
      </c>
      <c r="GN86">
        <f t="shared" si="101"/>
        <v>0</v>
      </c>
      <c r="GO86">
        <f t="shared" si="102"/>
        <v>582.24</v>
      </c>
      <c r="GP86">
        <f t="shared" si="103"/>
        <v>0</v>
      </c>
      <c r="GR86">
        <v>0</v>
      </c>
      <c r="GS86">
        <v>3</v>
      </c>
      <c r="GT86">
        <v>0</v>
      </c>
      <c r="GV86">
        <f t="shared" si="104"/>
        <v>0</v>
      </c>
      <c r="GW86">
        <v>1</v>
      </c>
      <c r="GX86">
        <f t="shared" si="105"/>
        <v>0</v>
      </c>
      <c r="HA86">
        <v>0</v>
      </c>
      <c r="HB86">
        <v>0</v>
      </c>
      <c r="HC86">
        <f t="shared" si="106"/>
        <v>0</v>
      </c>
      <c r="HI86">
        <f t="shared" si="107"/>
        <v>216.69</v>
      </c>
      <c r="HJ86">
        <f t="shared" si="108"/>
        <v>3764.08</v>
      </c>
      <c r="HK86">
        <f t="shared" si="109"/>
        <v>3861.35</v>
      </c>
      <c r="HL86">
        <f t="shared" si="110"/>
        <v>2030.19</v>
      </c>
      <c r="HN86" t="s">
        <v>173</v>
      </c>
      <c r="HO86" t="s">
        <v>174</v>
      </c>
      <c r="HP86" t="s">
        <v>171</v>
      </c>
      <c r="HQ86" t="s">
        <v>171</v>
      </c>
      <c r="IK86">
        <v>0</v>
      </c>
    </row>
    <row r="87" spans="1:245" ht="12.75">
      <c r="A87">
        <v>17</v>
      </c>
      <c r="B87">
        <v>1</v>
      </c>
      <c r="C87">
        <f>ROW(SmtRes!A66)</f>
        <v>66</v>
      </c>
      <c r="D87">
        <f>ROW(EtalonRes!A66)</f>
        <v>66</v>
      </c>
      <c r="E87" t="s">
        <v>183</v>
      </c>
      <c r="F87" t="s">
        <v>184</v>
      </c>
      <c r="G87" t="s">
        <v>185</v>
      </c>
      <c r="H87" t="s">
        <v>169</v>
      </c>
      <c r="I87">
        <f>ROUND(ROUND(100/100,4),7)</f>
        <v>1</v>
      </c>
      <c r="J87">
        <v>0</v>
      </c>
      <c r="K87">
        <f>ROUND(ROUND(100/100,4),7)</f>
        <v>1</v>
      </c>
      <c r="O87">
        <f t="shared" si="72"/>
        <v>326.11</v>
      </c>
      <c r="P87">
        <f t="shared" si="73"/>
        <v>37.28</v>
      </c>
      <c r="Q87">
        <f t="shared" si="74"/>
        <v>99.94</v>
      </c>
      <c r="R87">
        <f t="shared" si="75"/>
        <v>3.62</v>
      </c>
      <c r="S87">
        <f t="shared" si="76"/>
        <v>188.89</v>
      </c>
      <c r="T87">
        <f t="shared" si="77"/>
        <v>0</v>
      </c>
      <c r="U87">
        <f t="shared" si="78"/>
        <v>20.2032</v>
      </c>
      <c r="V87">
        <f t="shared" si="79"/>
        <v>0.5519999999999999</v>
      </c>
      <c r="W87">
        <f t="shared" si="80"/>
        <v>0</v>
      </c>
      <c r="X87">
        <f t="shared" si="81"/>
        <v>186.73</v>
      </c>
      <c r="Y87">
        <f t="shared" si="82"/>
        <v>98.18</v>
      </c>
      <c r="AA87">
        <v>44571020</v>
      </c>
      <c r="AB87">
        <f t="shared" si="83"/>
        <v>326.11</v>
      </c>
      <c r="AC87">
        <f t="shared" si="84"/>
        <v>37.28</v>
      </c>
      <c r="AD87">
        <f>ROUND(((((ET87*ROUND((1.2*1.15),7)))-((EU87*ROUND((1.2*1.15),7))))+AE87),2)</f>
        <v>99.94</v>
      </c>
      <c r="AE87">
        <f>ROUND(((EU87*ROUND((1.2*1.15),7))),2)</f>
        <v>3.62</v>
      </c>
      <c r="AF87">
        <f>ROUND(((EV87*ROUND((1.2*1.15),7))),2)</f>
        <v>188.89</v>
      </c>
      <c r="AG87">
        <f t="shared" si="85"/>
        <v>0</v>
      </c>
      <c r="AH87">
        <f>((EW87*ROUND((1.2*1.15),7)))</f>
        <v>20.2032</v>
      </c>
      <c r="AI87">
        <f>((EX87*ROUND((1.2*1.15),7)))</f>
        <v>0.5519999999999999</v>
      </c>
      <c r="AJ87">
        <f t="shared" si="86"/>
        <v>0</v>
      </c>
      <c r="AK87">
        <v>246.58</v>
      </c>
      <c r="AL87">
        <v>37.28</v>
      </c>
      <c r="AM87">
        <v>72.42</v>
      </c>
      <c r="AN87">
        <v>2.62</v>
      </c>
      <c r="AO87">
        <v>136.88</v>
      </c>
      <c r="AP87">
        <v>0</v>
      </c>
      <c r="AQ87">
        <v>14.64</v>
      </c>
      <c r="AR87">
        <v>0.4</v>
      </c>
      <c r="AS87">
        <v>0</v>
      </c>
      <c r="AT87">
        <v>97</v>
      </c>
      <c r="AU87">
        <v>51</v>
      </c>
      <c r="AV87">
        <v>1</v>
      </c>
      <c r="AW87">
        <v>1</v>
      </c>
      <c r="AZ87">
        <v>1</v>
      </c>
      <c r="BA87">
        <v>28.93</v>
      </c>
      <c r="BB87">
        <v>1</v>
      </c>
      <c r="BC87">
        <v>1</v>
      </c>
      <c r="BH87">
        <v>0</v>
      </c>
      <c r="BI87">
        <v>2</v>
      </c>
      <c r="BJ87" t="s">
        <v>186</v>
      </c>
      <c r="BM87">
        <v>108001</v>
      </c>
      <c r="BN87">
        <v>0</v>
      </c>
      <c r="BP87">
        <v>0</v>
      </c>
      <c r="BQ87">
        <v>3</v>
      </c>
      <c r="BR87">
        <v>0</v>
      </c>
      <c r="BS87">
        <v>28.93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97</v>
      </c>
      <c r="CA87">
        <v>51</v>
      </c>
      <c r="CE87">
        <v>0</v>
      </c>
      <c r="CF87">
        <v>0</v>
      </c>
      <c r="CG87">
        <v>0</v>
      </c>
      <c r="CM87">
        <v>0</v>
      </c>
      <c r="CO87">
        <v>0</v>
      </c>
      <c r="CP87">
        <f t="shared" si="87"/>
        <v>326.11</v>
      </c>
      <c r="CQ87">
        <f t="shared" si="88"/>
        <v>37.28</v>
      </c>
      <c r="CR87">
        <f t="shared" si="89"/>
        <v>99.94</v>
      </c>
      <c r="CS87">
        <f t="shared" si="90"/>
        <v>3.62</v>
      </c>
      <c r="CT87">
        <f t="shared" si="91"/>
        <v>188.89</v>
      </c>
      <c r="CU87">
        <f t="shared" si="92"/>
        <v>0</v>
      </c>
      <c r="CV87">
        <f t="shared" si="93"/>
        <v>20.2032</v>
      </c>
      <c r="CW87">
        <f t="shared" si="94"/>
        <v>0.5519999999999999</v>
      </c>
      <c r="CX87">
        <f t="shared" si="95"/>
        <v>0</v>
      </c>
      <c r="CY87">
        <f t="shared" si="96"/>
        <v>186.73469999999998</v>
      </c>
      <c r="CZ87">
        <f t="shared" si="97"/>
        <v>98.1801</v>
      </c>
      <c r="DE87" t="s">
        <v>22</v>
      </c>
      <c r="DF87" t="s">
        <v>22</v>
      </c>
      <c r="DG87" t="s">
        <v>22</v>
      </c>
      <c r="DI87" t="s">
        <v>22</v>
      </c>
      <c r="DJ87" t="s">
        <v>22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169</v>
      </c>
      <c r="DW87" t="s">
        <v>169</v>
      </c>
      <c r="DX87">
        <v>1</v>
      </c>
      <c r="EE87">
        <v>37975922</v>
      </c>
      <c r="EF87">
        <v>3</v>
      </c>
      <c r="EG87" t="s">
        <v>165</v>
      </c>
      <c r="EH87">
        <v>0</v>
      </c>
      <c r="EJ87">
        <v>2</v>
      </c>
      <c r="EK87">
        <v>108001</v>
      </c>
      <c r="EL87" t="s">
        <v>171</v>
      </c>
      <c r="EM87" t="s">
        <v>172</v>
      </c>
      <c r="EQ87">
        <v>0</v>
      </c>
      <c r="ER87">
        <v>246.58</v>
      </c>
      <c r="ES87">
        <v>37.28</v>
      </c>
      <c r="ET87">
        <v>72.42</v>
      </c>
      <c r="EU87">
        <v>2.62</v>
      </c>
      <c r="EV87">
        <v>136.88</v>
      </c>
      <c r="EW87">
        <v>14.64</v>
      </c>
      <c r="EX87">
        <v>0.4</v>
      </c>
      <c r="EY87">
        <v>0</v>
      </c>
      <c r="FQ87">
        <v>0</v>
      </c>
      <c r="FR87">
        <f t="shared" si="98"/>
        <v>0</v>
      </c>
      <c r="FS87">
        <v>0</v>
      </c>
      <c r="FX87">
        <v>97</v>
      </c>
      <c r="FY87">
        <v>51</v>
      </c>
      <c r="GD87">
        <v>1</v>
      </c>
      <c r="GF87">
        <v>2121116249</v>
      </c>
      <c r="GG87">
        <v>2</v>
      </c>
      <c r="GH87">
        <v>1</v>
      </c>
      <c r="GI87">
        <v>4</v>
      </c>
      <c r="GJ87">
        <v>0</v>
      </c>
      <c r="GK87">
        <v>0</v>
      </c>
      <c r="GL87">
        <f t="shared" si="99"/>
        <v>0</v>
      </c>
      <c r="GM87">
        <f t="shared" si="100"/>
        <v>611.02</v>
      </c>
      <c r="GN87">
        <f t="shared" si="101"/>
        <v>0</v>
      </c>
      <c r="GO87">
        <f t="shared" si="102"/>
        <v>611.02</v>
      </c>
      <c r="GP87">
        <f t="shared" si="103"/>
        <v>0</v>
      </c>
      <c r="GR87">
        <v>0</v>
      </c>
      <c r="GS87">
        <v>3</v>
      </c>
      <c r="GT87">
        <v>0</v>
      </c>
      <c r="GV87">
        <f t="shared" si="104"/>
        <v>0</v>
      </c>
      <c r="GW87">
        <v>1</v>
      </c>
      <c r="GX87">
        <f t="shared" si="105"/>
        <v>0</v>
      </c>
      <c r="HA87">
        <v>0</v>
      </c>
      <c r="HB87">
        <v>0</v>
      </c>
      <c r="HC87">
        <f t="shared" si="106"/>
        <v>0</v>
      </c>
      <c r="HI87">
        <f t="shared" si="107"/>
        <v>104.73</v>
      </c>
      <c r="HJ87">
        <f t="shared" si="108"/>
        <v>5464.59</v>
      </c>
      <c r="HK87">
        <f t="shared" si="109"/>
        <v>5402.24</v>
      </c>
      <c r="HL87">
        <f t="shared" si="110"/>
        <v>2840.35</v>
      </c>
      <c r="HN87" t="s">
        <v>173</v>
      </c>
      <c r="HO87" t="s">
        <v>174</v>
      </c>
      <c r="HP87" t="s">
        <v>171</v>
      </c>
      <c r="HQ87" t="s">
        <v>171</v>
      </c>
      <c r="IK87">
        <v>0</v>
      </c>
    </row>
    <row r="88" spans="1:245" ht="12.75">
      <c r="A88">
        <v>17</v>
      </c>
      <c r="B88">
        <v>1</v>
      </c>
      <c r="C88">
        <f>ROW(SmtRes!A77)</f>
        <v>77</v>
      </c>
      <c r="D88">
        <f>ROW(EtalonRes!A77)</f>
        <v>77</v>
      </c>
      <c r="E88" t="s">
        <v>187</v>
      </c>
      <c r="F88" t="s">
        <v>188</v>
      </c>
      <c r="G88" t="s">
        <v>189</v>
      </c>
      <c r="H88" t="s">
        <v>169</v>
      </c>
      <c r="I88">
        <f>ROUND(ROUND(3/100,2),7)</f>
        <v>0.03</v>
      </c>
      <c r="J88">
        <v>0</v>
      </c>
      <c r="K88">
        <f>ROUND(ROUND(3/100,2),7)</f>
        <v>0.03</v>
      </c>
      <c r="O88">
        <f t="shared" si="72"/>
        <v>10.85</v>
      </c>
      <c r="P88">
        <f t="shared" si="73"/>
        <v>1.18</v>
      </c>
      <c r="Q88">
        <f t="shared" si="74"/>
        <v>3.13</v>
      </c>
      <c r="R88">
        <f t="shared" si="75"/>
        <v>0.11</v>
      </c>
      <c r="S88">
        <f t="shared" si="76"/>
        <v>6.54</v>
      </c>
      <c r="T88">
        <f t="shared" si="77"/>
        <v>0</v>
      </c>
      <c r="U88">
        <f t="shared" si="78"/>
        <v>0.69984</v>
      </c>
      <c r="V88">
        <f t="shared" si="79"/>
        <v>0.0162</v>
      </c>
      <c r="W88">
        <f t="shared" si="80"/>
        <v>0</v>
      </c>
      <c r="X88">
        <f t="shared" si="81"/>
        <v>6.45</v>
      </c>
      <c r="Y88">
        <f t="shared" si="82"/>
        <v>3.39</v>
      </c>
      <c r="AA88">
        <v>44571020</v>
      </c>
      <c r="AB88">
        <f t="shared" si="83"/>
        <v>361.47</v>
      </c>
      <c r="AC88">
        <f t="shared" si="84"/>
        <v>39.17</v>
      </c>
      <c r="AD88">
        <f>ROUND(((((ET88*ROUND(1.35,7)))-((EU88*ROUND(1.35,7))))+AE88),2)</f>
        <v>104.18</v>
      </c>
      <c r="AE88">
        <f aca="true" t="shared" si="111" ref="AE88:AF92">ROUND(((EU88*ROUND(1.35,7))),2)</f>
        <v>3.54</v>
      </c>
      <c r="AF88">
        <f t="shared" si="111"/>
        <v>218.12</v>
      </c>
      <c r="AG88">
        <f t="shared" si="85"/>
        <v>0</v>
      </c>
      <c r="AH88">
        <f aca="true" t="shared" si="112" ref="AH88:AI92">((EW88*ROUND(1.35,7)))</f>
        <v>23.328000000000003</v>
      </c>
      <c r="AI88">
        <f t="shared" si="112"/>
        <v>0.54</v>
      </c>
      <c r="AJ88">
        <f t="shared" si="86"/>
        <v>0</v>
      </c>
      <c r="AK88">
        <v>277.91</v>
      </c>
      <c r="AL88">
        <v>39.17</v>
      </c>
      <c r="AM88">
        <v>77.17</v>
      </c>
      <c r="AN88">
        <v>2.62</v>
      </c>
      <c r="AO88">
        <v>161.57</v>
      </c>
      <c r="AP88">
        <v>0</v>
      </c>
      <c r="AQ88">
        <v>17.28</v>
      </c>
      <c r="AR88">
        <v>0.4</v>
      </c>
      <c r="AS88">
        <v>0</v>
      </c>
      <c r="AT88">
        <v>97</v>
      </c>
      <c r="AU88">
        <v>51</v>
      </c>
      <c r="AV88">
        <v>1</v>
      </c>
      <c r="AW88">
        <v>1</v>
      </c>
      <c r="AZ88">
        <v>1</v>
      </c>
      <c r="BA88">
        <v>28.93</v>
      </c>
      <c r="BB88">
        <v>1</v>
      </c>
      <c r="BC88">
        <v>1</v>
      </c>
      <c r="BH88">
        <v>0</v>
      </c>
      <c r="BI88">
        <v>2</v>
      </c>
      <c r="BJ88" t="s">
        <v>190</v>
      </c>
      <c r="BM88">
        <v>108001</v>
      </c>
      <c r="BN88">
        <v>0</v>
      </c>
      <c r="BP88">
        <v>0</v>
      </c>
      <c r="BQ88">
        <v>3</v>
      </c>
      <c r="BR88">
        <v>0</v>
      </c>
      <c r="BS88">
        <v>28.93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97</v>
      </c>
      <c r="CA88">
        <v>51</v>
      </c>
      <c r="CE88">
        <v>0</v>
      </c>
      <c r="CF88">
        <v>0</v>
      </c>
      <c r="CG88">
        <v>0</v>
      </c>
      <c r="CM88">
        <v>0</v>
      </c>
      <c r="CO88">
        <v>0</v>
      </c>
      <c r="CP88">
        <f t="shared" si="87"/>
        <v>10.85</v>
      </c>
      <c r="CQ88">
        <f t="shared" si="88"/>
        <v>39.17</v>
      </c>
      <c r="CR88">
        <f t="shared" si="89"/>
        <v>104.18</v>
      </c>
      <c r="CS88">
        <f t="shared" si="90"/>
        <v>3.54</v>
      </c>
      <c r="CT88">
        <f t="shared" si="91"/>
        <v>218.12</v>
      </c>
      <c r="CU88">
        <f t="shared" si="92"/>
        <v>0</v>
      </c>
      <c r="CV88">
        <f t="shared" si="93"/>
        <v>23.328000000000003</v>
      </c>
      <c r="CW88">
        <f t="shared" si="94"/>
        <v>0.54</v>
      </c>
      <c r="CX88">
        <f t="shared" si="95"/>
        <v>0</v>
      </c>
      <c r="CY88">
        <f t="shared" si="96"/>
        <v>6.450500000000001</v>
      </c>
      <c r="CZ88">
        <f t="shared" si="97"/>
        <v>3.3915</v>
      </c>
      <c r="DE88" t="s">
        <v>191</v>
      </c>
      <c r="DF88" t="s">
        <v>191</v>
      </c>
      <c r="DG88" t="s">
        <v>191</v>
      </c>
      <c r="DI88" t="s">
        <v>191</v>
      </c>
      <c r="DJ88" t="s">
        <v>191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169</v>
      </c>
      <c r="DW88" t="s">
        <v>169</v>
      </c>
      <c r="DX88">
        <v>1</v>
      </c>
      <c r="EE88">
        <v>37975922</v>
      </c>
      <c r="EF88">
        <v>3</v>
      </c>
      <c r="EG88" t="s">
        <v>165</v>
      </c>
      <c r="EH88">
        <v>0</v>
      </c>
      <c r="EJ88">
        <v>2</v>
      </c>
      <c r="EK88">
        <v>108001</v>
      </c>
      <c r="EL88" t="s">
        <v>171</v>
      </c>
      <c r="EM88" t="s">
        <v>172</v>
      </c>
      <c r="EQ88">
        <v>0</v>
      </c>
      <c r="ER88">
        <v>277.91</v>
      </c>
      <c r="ES88">
        <v>39.17</v>
      </c>
      <c r="ET88">
        <v>77.17</v>
      </c>
      <c r="EU88">
        <v>2.62</v>
      </c>
      <c r="EV88">
        <v>161.57</v>
      </c>
      <c r="EW88">
        <v>17.28</v>
      </c>
      <c r="EX88">
        <v>0.4</v>
      </c>
      <c r="EY88">
        <v>0</v>
      </c>
      <c r="FQ88">
        <v>0</v>
      </c>
      <c r="FR88">
        <f t="shared" si="98"/>
        <v>0</v>
      </c>
      <c r="FS88">
        <v>0</v>
      </c>
      <c r="FX88">
        <v>97</v>
      </c>
      <c r="FY88">
        <v>51</v>
      </c>
      <c r="GD88">
        <v>1</v>
      </c>
      <c r="GF88">
        <v>-1243355829</v>
      </c>
      <c r="GG88">
        <v>2</v>
      </c>
      <c r="GH88">
        <v>1</v>
      </c>
      <c r="GI88">
        <v>4</v>
      </c>
      <c r="GJ88">
        <v>0</v>
      </c>
      <c r="GK88">
        <v>0</v>
      </c>
      <c r="GL88">
        <f t="shared" si="99"/>
        <v>0</v>
      </c>
      <c r="GM88">
        <f t="shared" si="100"/>
        <v>20.69</v>
      </c>
      <c r="GN88">
        <f t="shared" si="101"/>
        <v>0</v>
      </c>
      <c r="GO88">
        <f t="shared" si="102"/>
        <v>20.69</v>
      </c>
      <c r="GP88">
        <f t="shared" si="103"/>
        <v>0</v>
      </c>
      <c r="GR88">
        <v>0</v>
      </c>
      <c r="GS88">
        <v>3</v>
      </c>
      <c r="GT88">
        <v>0</v>
      </c>
      <c r="GV88">
        <f t="shared" si="104"/>
        <v>0</v>
      </c>
      <c r="GW88">
        <v>1</v>
      </c>
      <c r="GX88">
        <f t="shared" si="105"/>
        <v>0</v>
      </c>
      <c r="HA88">
        <v>0</v>
      </c>
      <c r="HB88">
        <v>0</v>
      </c>
      <c r="HC88">
        <f t="shared" si="106"/>
        <v>0</v>
      </c>
      <c r="HI88">
        <f t="shared" si="107"/>
        <v>3.18</v>
      </c>
      <c r="HJ88">
        <f t="shared" si="108"/>
        <v>189.2</v>
      </c>
      <c r="HK88">
        <f t="shared" si="109"/>
        <v>186.61</v>
      </c>
      <c r="HL88">
        <f t="shared" si="110"/>
        <v>98.11</v>
      </c>
      <c r="HN88" t="s">
        <v>173</v>
      </c>
      <c r="HO88" t="s">
        <v>174</v>
      </c>
      <c r="HP88" t="s">
        <v>171</v>
      </c>
      <c r="HQ88" t="s">
        <v>171</v>
      </c>
      <c r="IK88">
        <v>0</v>
      </c>
    </row>
    <row r="89" spans="1:245" ht="12.75">
      <c r="A89">
        <v>17</v>
      </c>
      <c r="B89">
        <v>1</v>
      </c>
      <c r="C89">
        <f>ROW(SmtRes!A87)</f>
        <v>87</v>
      </c>
      <c r="D89">
        <f>ROW(EtalonRes!A87)</f>
        <v>87</v>
      </c>
      <c r="E89" t="s">
        <v>192</v>
      </c>
      <c r="F89" t="s">
        <v>193</v>
      </c>
      <c r="G89" t="s">
        <v>194</v>
      </c>
      <c r="H89" t="s">
        <v>169</v>
      </c>
      <c r="I89">
        <f>ROUND(ROUND(5/100,4),7)</f>
        <v>0.05</v>
      </c>
      <c r="J89">
        <v>0</v>
      </c>
      <c r="K89">
        <f>ROUND(ROUND(5/100,4),7)</f>
        <v>0.05</v>
      </c>
      <c r="O89">
        <f t="shared" si="72"/>
        <v>10.42</v>
      </c>
      <c r="P89">
        <f t="shared" si="73"/>
        <v>2.29</v>
      </c>
      <c r="Q89">
        <f t="shared" si="74"/>
        <v>3.95</v>
      </c>
      <c r="R89">
        <f t="shared" si="75"/>
        <v>0.18</v>
      </c>
      <c r="S89">
        <f t="shared" si="76"/>
        <v>4.18</v>
      </c>
      <c r="T89">
        <f t="shared" si="77"/>
        <v>0</v>
      </c>
      <c r="U89">
        <f t="shared" si="78"/>
        <v>0.447525</v>
      </c>
      <c r="V89">
        <f t="shared" si="79"/>
        <v>0.027000000000000003</v>
      </c>
      <c r="W89">
        <f t="shared" si="80"/>
        <v>0</v>
      </c>
      <c r="X89">
        <f t="shared" si="81"/>
        <v>4.23</v>
      </c>
      <c r="Y89">
        <f t="shared" si="82"/>
        <v>2.22</v>
      </c>
      <c r="AA89">
        <v>44571020</v>
      </c>
      <c r="AB89">
        <f t="shared" si="83"/>
        <v>208.46</v>
      </c>
      <c r="AC89">
        <f t="shared" si="84"/>
        <v>45.75</v>
      </c>
      <c r="AD89">
        <f>ROUND(((((ET89*ROUND(1.35,7)))-((EU89*ROUND(1.35,7))))+AE89),2)</f>
        <v>79.02</v>
      </c>
      <c r="AE89">
        <f t="shared" si="111"/>
        <v>3.54</v>
      </c>
      <c r="AF89">
        <f t="shared" si="111"/>
        <v>83.69</v>
      </c>
      <c r="AG89">
        <f t="shared" si="85"/>
        <v>0</v>
      </c>
      <c r="AH89">
        <f t="shared" si="112"/>
        <v>8.9505</v>
      </c>
      <c r="AI89">
        <f t="shared" si="112"/>
        <v>0.54</v>
      </c>
      <c r="AJ89">
        <f t="shared" si="86"/>
        <v>0</v>
      </c>
      <c r="AK89">
        <v>166.27</v>
      </c>
      <c r="AL89">
        <v>45.75</v>
      </c>
      <c r="AM89">
        <v>58.53</v>
      </c>
      <c r="AN89">
        <v>2.62</v>
      </c>
      <c r="AO89">
        <v>61.99</v>
      </c>
      <c r="AP89">
        <v>0</v>
      </c>
      <c r="AQ89">
        <v>6.63</v>
      </c>
      <c r="AR89">
        <v>0.4</v>
      </c>
      <c r="AS89">
        <v>0</v>
      </c>
      <c r="AT89">
        <v>97</v>
      </c>
      <c r="AU89">
        <v>51</v>
      </c>
      <c r="AV89">
        <v>1</v>
      </c>
      <c r="AW89">
        <v>1</v>
      </c>
      <c r="AZ89">
        <v>1</v>
      </c>
      <c r="BA89">
        <v>28.93</v>
      </c>
      <c r="BB89">
        <v>1</v>
      </c>
      <c r="BC89">
        <v>1</v>
      </c>
      <c r="BH89">
        <v>0</v>
      </c>
      <c r="BI89">
        <v>2</v>
      </c>
      <c r="BJ89" t="s">
        <v>195</v>
      </c>
      <c r="BM89">
        <v>108001</v>
      </c>
      <c r="BN89">
        <v>0</v>
      </c>
      <c r="BP89">
        <v>0</v>
      </c>
      <c r="BQ89">
        <v>3</v>
      </c>
      <c r="BR89">
        <v>0</v>
      </c>
      <c r="BS89">
        <v>28.93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97</v>
      </c>
      <c r="CA89">
        <v>51</v>
      </c>
      <c r="CE89">
        <v>0</v>
      </c>
      <c r="CF89">
        <v>0</v>
      </c>
      <c r="CG89">
        <v>0</v>
      </c>
      <c r="CM89">
        <v>0</v>
      </c>
      <c r="CO89">
        <v>0</v>
      </c>
      <c r="CP89">
        <f t="shared" si="87"/>
        <v>10.42</v>
      </c>
      <c r="CQ89">
        <f t="shared" si="88"/>
        <v>45.75</v>
      </c>
      <c r="CR89">
        <f t="shared" si="89"/>
        <v>79.02</v>
      </c>
      <c r="CS89">
        <f t="shared" si="90"/>
        <v>3.54</v>
      </c>
      <c r="CT89">
        <f t="shared" si="91"/>
        <v>83.69</v>
      </c>
      <c r="CU89">
        <f t="shared" si="92"/>
        <v>0</v>
      </c>
      <c r="CV89">
        <f t="shared" si="93"/>
        <v>8.9505</v>
      </c>
      <c r="CW89">
        <f t="shared" si="94"/>
        <v>0.54</v>
      </c>
      <c r="CX89">
        <f t="shared" si="95"/>
        <v>0</v>
      </c>
      <c r="CY89">
        <f t="shared" si="96"/>
        <v>4.2292</v>
      </c>
      <c r="CZ89">
        <f t="shared" si="97"/>
        <v>2.2235999999999994</v>
      </c>
      <c r="DE89" t="s">
        <v>191</v>
      </c>
      <c r="DF89" t="s">
        <v>191</v>
      </c>
      <c r="DG89" t="s">
        <v>191</v>
      </c>
      <c r="DI89" t="s">
        <v>191</v>
      </c>
      <c r="DJ89" t="s">
        <v>191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169</v>
      </c>
      <c r="DW89" t="s">
        <v>169</v>
      </c>
      <c r="DX89">
        <v>1</v>
      </c>
      <c r="EE89">
        <v>37975922</v>
      </c>
      <c r="EF89">
        <v>3</v>
      </c>
      <c r="EG89" t="s">
        <v>165</v>
      </c>
      <c r="EH89">
        <v>0</v>
      </c>
      <c r="EJ89">
        <v>2</v>
      </c>
      <c r="EK89">
        <v>108001</v>
      </c>
      <c r="EL89" t="s">
        <v>171</v>
      </c>
      <c r="EM89" t="s">
        <v>172</v>
      </c>
      <c r="EQ89">
        <v>131072</v>
      </c>
      <c r="ER89">
        <v>166.27</v>
      </c>
      <c r="ES89">
        <v>45.75</v>
      </c>
      <c r="ET89">
        <v>58.53</v>
      </c>
      <c r="EU89">
        <v>2.62</v>
      </c>
      <c r="EV89">
        <v>61.99</v>
      </c>
      <c r="EW89">
        <v>6.63</v>
      </c>
      <c r="EX89">
        <v>0.4</v>
      </c>
      <c r="EY89">
        <v>0</v>
      </c>
      <c r="FQ89">
        <v>0</v>
      </c>
      <c r="FR89">
        <f t="shared" si="98"/>
        <v>0</v>
      </c>
      <c r="FS89">
        <v>0</v>
      </c>
      <c r="FX89">
        <v>97</v>
      </c>
      <c r="FY89">
        <v>51</v>
      </c>
      <c r="GD89">
        <v>1</v>
      </c>
      <c r="GF89">
        <v>-2015310619</v>
      </c>
      <c r="GG89">
        <v>2</v>
      </c>
      <c r="GH89">
        <v>1</v>
      </c>
      <c r="GI89">
        <v>4</v>
      </c>
      <c r="GJ89">
        <v>0</v>
      </c>
      <c r="GK89">
        <v>0</v>
      </c>
      <c r="GL89">
        <f t="shared" si="99"/>
        <v>0</v>
      </c>
      <c r="GM89">
        <f t="shared" si="100"/>
        <v>16.87</v>
      </c>
      <c r="GN89">
        <f t="shared" si="101"/>
        <v>0</v>
      </c>
      <c r="GO89">
        <f t="shared" si="102"/>
        <v>16.87</v>
      </c>
      <c r="GP89">
        <f t="shared" si="103"/>
        <v>0</v>
      </c>
      <c r="GR89">
        <v>0</v>
      </c>
      <c r="GS89">
        <v>3</v>
      </c>
      <c r="GT89">
        <v>0</v>
      </c>
      <c r="GV89">
        <f t="shared" si="104"/>
        <v>0</v>
      </c>
      <c r="GW89">
        <v>1</v>
      </c>
      <c r="GX89">
        <f t="shared" si="105"/>
        <v>0</v>
      </c>
      <c r="HA89">
        <v>0</v>
      </c>
      <c r="HB89">
        <v>0</v>
      </c>
      <c r="HC89">
        <f t="shared" si="106"/>
        <v>0</v>
      </c>
      <c r="HI89">
        <f t="shared" si="107"/>
        <v>5.21</v>
      </c>
      <c r="HJ89">
        <f t="shared" si="108"/>
        <v>120.93</v>
      </c>
      <c r="HK89">
        <f t="shared" si="109"/>
        <v>122.36</v>
      </c>
      <c r="HL89">
        <f t="shared" si="110"/>
        <v>64.33</v>
      </c>
      <c r="HN89" t="s">
        <v>173</v>
      </c>
      <c r="HO89" t="s">
        <v>174</v>
      </c>
      <c r="HP89" t="s">
        <v>171</v>
      </c>
      <c r="HQ89" t="s">
        <v>171</v>
      </c>
      <c r="IK89">
        <v>0</v>
      </c>
    </row>
    <row r="90" spans="1:245" ht="12.75">
      <c r="A90">
        <v>17</v>
      </c>
      <c r="B90">
        <v>1</v>
      </c>
      <c r="C90">
        <f>ROW(SmtRes!A90)</f>
        <v>90</v>
      </c>
      <c r="D90">
        <f>ROW(EtalonRes!A90)</f>
        <v>90</v>
      </c>
      <c r="E90" t="s">
        <v>196</v>
      </c>
      <c r="F90" t="s">
        <v>197</v>
      </c>
      <c r="G90" t="s">
        <v>198</v>
      </c>
      <c r="H90" t="s">
        <v>169</v>
      </c>
      <c r="I90">
        <f>ROUND(ROUND(5/100,4),7)</f>
        <v>0.05</v>
      </c>
      <c r="J90">
        <v>0</v>
      </c>
      <c r="K90">
        <f>ROUND(ROUND(5/100,4),7)</f>
        <v>0.05</v>
      </c>
      <c r="O90">
        <f t="shared" si="72"/>
        <v>0.81</v>
      </c>
      <c r="P90">
        <f t="shared" si="73"/>
        <v>0.01</v>
      </c>
      <c r="Q90">
        <f t="shared" si="74"/>
        <v>0</v>
      </c>
      <c r="R90">
        <f t="shared" si="75"/>
        <v>0</v>
      </c>
      <c r="S90">
        <f t="shared" si="76"/>
        <v>0.8</v>
      </c>
      <c r="T90">
        <f t="shared" si="77"/>
        <v>0</v>
      </c>
      <c r="U90">
        <f t="shared" si="78"/>
        <v>0.08505000000000001</v>
      </c>
      <c r="V90">
        <f t="shared" si="79"/>
        <v>0</v>
      </c>
      <c r="W90">
        <f t="shared" si="80"/>
        <v>0</v>
      </c>
      <c r="X90">
        <f t="shared" si="81"/>
        <v>0.78</v>
      </c>
      <c r="Y90">
        <f t="shared" si="82"/>
        <v>0.41</v>
      </c>
      <c r="AA90">
        <v>44571020</v>
      </c>
      <c r="AB90">
        <f t="shared" si="83"/>
        <v>16.14</v>
      </c>
      <c r="AC90">
        <f t="shared" si="84"/>
        <v>0.24</v>
      </c>
      <c r="AD90">
        <f>ROUND(((((ET90*ROUND(1.35,7)))-((EU90*ROUND(1.35,7))))+AE90),2)</f>
        <v>0</v>
      </c>
      <c r="AE90">
        <f t="shared" si="111"/>
        <v>0</v>
      </c>
      <c r="AF90">
        <f t="shared" si="111"/>
        <v>15.9</v>
      </c>
      <c r="AG90">
        <f t="shared" si="85"/>
        <v>0</v>
      </c>
      <c r="AH90">
        <f t="shared" si="112"/>
        <v>1.701</v>
      </c>
      <c r="AI90">
        <f t="shared" si="112"/>
        <v>0</v>
      </c>
      <c r="AJ90">
        <f t="shared" si="86"/>
        <v>0</v>
      </c>
      <c r="AK90">
        <v>12.02</v>
      </c>
      <c r="AL90">
        <v>0.24</v>
      </c>
      <c r="AM90">
        <v>0</v>
      </c>
      <c r="AN90">
        <v>0</v>
      </c>
      <c r="AO90">
        <v>11.78</v>
      </c>
      <c r="AP90">
        <v>0</v>
      </c>
      <c r="AQ90">
        <v>1.26</v>
      </c>
      <c r="AR90">
        <v>0</v>
      </c>
      <c r="AS90">
        <v>0</v>
      </c>
      <c r="AT90">
        <v>97</v>
      </c>
      <c r="AU90">
        <v>51</v>
      </c>
      <c r="AV90">
        <v>1</v>
      </c>
      <c r="AW90">
        <v>1</v>
      </c>
      <c r="AZ90">
        <v>1</v>
      </c>
      <c r="BA90">
        <v>28.93</v>
      </c>
      <c r="BB90">
        <v>1</v>
      </c>
      <c r="BC90">
        <v>1</v>
      </c>
      <c r="BH90">
        <v>0</v>
      </c>
      <c r="BI90">
        <v>2</v>
      </c>
      <c r="BJ90" t="s">
        <v>199</v>
      </c>
      <c r="BM90">
        <v>108001</v>
      </c>
      <c r="BN90">
        <v>0</v>
      </c>
      <c r="BP90">
        <v>0</v>
      </c>
      <c r="BQ90">
        <v>3</v>
      </c>
      <c r="BR90">
        <v>0</v>
      </c>
      <c r="BS90">
        <v>28.93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97</v>
      </c>
      <c r="CA90">
        <v>51</v>
      </c>
      <c r="CE90">
        <v>0</v>
      </c>
      <c r="CF90">
        <v>0</v>
      </c>
      <c r="CG90">
        <v>0</v>
      </c>
      <c r="CM90">
        <v>0</v>
      </c>
      <c r="CO90">
        <v>0</v>
      </c>
      <c r="CP90">
        <f t="shared" si="87"/>
        <v>0.81</v>
      </c>
      <c r="CQ90">
        <f t="shared" si="88"/>
        <v>0.24</v>
      </c>
      <c r="CR90">
        <f t="shared" si="89"/>
        <v>0</v>
      </c>
      <c r="CS90">
        <f t="shared" si="90"/>
        <v>0</v>
      </c>
      <c r="CT90">
        <f t="shared" si="91"/>
        <v>15.9</v>
      </c>
      <c r="CU90">
        <f t="shared" si="92"/>
        <v>0</v>
      </c>
      <c r="CV90">
        <f t="shared" si="93"/>
        <v>1.701</v>
      </c>
      <c r="CW90">
        <f t="shared" si="94"/>
        <v>0</v>
      </c>
      <c r="CX90">
        <f t="shared" si="95"/>
        <v>0</v>
      </c>
      <c r="CY90">
        <f t="shared" si="96"/>
        <v>0.7760000000000001</v>
      </c>
      <c r="CZ90">
        <f t="shared" si="97"/>
        <v>0.40800000000000003</v>
      </c>
      <c r="DE90" t="s">
        <v>191</v>
      </c>
      <c r="DF90" t="s">
        <v>191</v>
      </c>
      <c r="DG90" t="s">
        <v>191</v>
      </c>
      <c r="DI90" t="s">
        <v>191</v>
      </c>
      <c r="DJ90" t="s">
        <v>191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169</v>
      </c>
      <c r="DW90" t="s">
        <v>169</v>
      </c>
      <c r="DX90">
        <v>1</v>
      </c>
      <c r="EE90">
        <v>37975922</v>
      </c>
      <c r="EF90">
        <v>3</v>
      </c>
      <c r="EG90" t="s">
        <v>165</v>
      </c>
      <c r="EH90">
        <v>0</v>
      </c>
      <c r="EJ90">
        <v>2</v>
      </c>
      <c r="EK90">
        <v>108001</v>
      </c>
      <c r="EL90" t="s">
        <v>171</v>
      </c>
      <c r="EM90" t="s">
        <v>172</v>
      </c>
      <c r="EQ90">
        <v>131072</v>
      </c>
      <c r="ER90">
        <v>12.02</v>
      </c>
      <c r="ES90">
        <v>0.24</v>
      </c>
      <c r="ET90">
        <v>0</v>
      </c>
      <c r="EU90">
        <v>0</v>
      </c>
      <c r="EV90">
        <v>11.78</v>
      </c>
      <c r="EW90">
        <v>1.26</v>
      </c>
      <c r="EX90">
        <v>0</v>
      </c>
      <c r="EY90">
        <v>0</v>
      </c>
      <c r="FQ90">
        <v>0</v>
      </c>
      <c r="FR90">
        <f t="shared" si="98"/>
        <v>0</v>
      </c>
      <c r="FS90">
        <v>0</v>
      </c>
      <c r="FX90">
        <v>97</v>
      </c>
      <c r="FY90">
        <v>51</v>
      </c>
      <c r="GD90">
        <v>1</v>
      </c>
      <c r="GF90">
        <v>1145076542</v>
      </c>
      <c r="GG90">
        <v>2</v>
      </c>
      <c r="GH90">
        <v>1</v>
      </c>
      <c r="GI90">
        <v>4</v>
      </c>
      <c r="GJ90">
        <v>0</v>
      </c>
      <c r="GK90">
        <v>0</v>
      </c>
      <c r="GL90">
        <f t="shared" si="99"/>
        <v>0</v>
      </c>
      <c r="GM90">
        <f t="shared" si="100"/>
        <v>2</v>
      </c>
      <c r="GN90">
        <f t="shared" si="101"/>
        <v>0</v>
      </c>
      <c r="GO90">
        <f t="shared" si="102"/>
        <v>2</v>
      </c>
      <c r="GP90">
        <f t="shared" si="103"/>
        <v>0</v>
      </c>
      <c r="GR90">
        <v>0</v>
      </c>
      <c r="GS90">
        <v>3</v>
      </c>
      <c r="GT90">
        <v>0</v>
      </c>
      <c r="GV90">
        <f t="shared" si="104"/>
        <v>0</v>
      </c>
      <c r="GW90">
        <v>1</v>
      </c>
      <c r="GX90">
        <f t="shared" si="105"/>
        <v>0</v>
      </c>
      <c r="HA90">
        <v>0</v>
      </c>
      <c r="HB90">
        <v>0</v>
      </c>
      <c r="HC90">
        <f t="shared" si="106"/>
        <v>0</v>
      </c>
      <c r="HI90">
        <f t="shared" si="107"/>
        <v>0</v>
      </c>
      <c r="HJ90">
        <f t="shared" si="108"/>
        <v>23.14</v>
      </c>
      <c r="HK90">
        <f t="shared" si="109"/>
        <v>22.45</v>
      </c>
      <c r="HL90">
        <f t="shared" si="110"/>
        <v>11.8</v>
      </c>
      <c r="HN90" t="s">
        <v>173</v>
      </c>
      <c r="HO90" t="s">
        <v>174</v>
      </c>
      <c r="HP90" t="s">
        <v>171</v>
      </c>
      <c r="HQ90" t="s">
        <v>171</v>
      </c>
      <c r="IK90">
        <v>0</v>
      </c>
    </row>
    <row r="91" spans="1:245" ht="12.75">
      <c r="A91">
        <v>17</v>
      </c>
      <c r="B91">
        <v>1</v>
      </c>
      <c r="C91">
        <f>ROW(SmtRes!A97)</f>
        <v>97</v>
      </c>
      <c r="D91">
        <f>ROW(EtalonRes!A97)</f>
        <v>97</v>
      </c>
      <c r="E91" t="s">
        <v>200</v>
      </c>
      <c r="F91" t="s">
        <v>201</v>
      </c>
      <c r="G91" t="s">
        <v>202</v>
      </c>
      <c r="H91" t="s">
        <v>203</v>
      </c>
      <c r="I91">
        <f>ROUND(ROUND(1,4),7)</f>
        <v>1</v>
      </c>
      <c r="J91">
        <v>0</v>
      </c>
      <c r="K91">
        <f>ROUND(ROUND(1,4),7)</f>
        <v>1</v>
      </c>
      <c r="O91">
        <f t="shared" si="72"/>
        <v>871.97</v>
      </c>
      <c r="P91">
        <f t="shared" si="73"/>
        <v>3.61</v>
      </c>
      <c r="Q91">
        <f t="shared" si="74"/>
        <v>811.31</v>
      </c>
      <c r="R91">
        <f t="shared" si="75"/>
        <v>60.75</v>
      </c>
      <c r="S91">
        <f t="shared" si="76"/>
        <v>57.05</v>
      </c>
      <c r="T91">
        <f t="shared" si="77"/>
        <v>0</v>
      </c>
      <c r="U91">
        <f t="shared" si="78"/>
        <v>6.101999999999999</v>
      </c>
      <c r="V91">
        <f t="shared" si="79"/>
        <v>4.6305000000000005</v>
      </c>
      <c r="W91">
        <f t="shared" si="80"/>
        <v>0</v>
      </c>
      <c r="X91">
        <f t="shared" si="81"/>
        <v>114.27</v>
      </c>
      <c r="Y91">
        <f t="shared" si="82"/>
        <v>60.08</v>
      </c>
      <c r="AA91">
        <v>44571020</v>
      </c>
      <c r="AB91">
        <f t="shared" si="83"/>
        <v>871.97</v>
      </c>
      <c r="AC91">
        <f t="shared" si="84"/>
        <v>3.61</v>
      </c>
      <c r="AD91">
        <f>ROUND(((((ET91*ROUND(1.35,7)))-((EU91*ROUND(1.35,7))))+AE91),2)</f>
        <v>811.31</v>
      </c>
      <c r="AE91">
        <f t="shared" si="111"/>
        <v>60.75</v>
      </c>
      <c r="AF91">
        <f t="shared" si="111"/>
        <v>57.05</v>
      </c>
      <c r="AG91">
        <f t="shared" si="85"/>
        <v>0</v>
      </c>
      <c r="AH91">
        <f t="shared" si="112"/>
        <v>6.101999999999999</v>
      </c>
      <c r="AI91">
        <f t="shared" si="112"/>
        <v>4.6305000000000005</v>
      </c>
      <c r="AJ91">
        <f t="shared" si="86"/>
        <v>0</v>
      </c>
      <c r="AK91">
        <v>646.84</v>
      </c>
      <c r="AL91">
        <v>3.61</v>
      </c>
      <c r="AM91">
        <v>600.97</v>
      </c>
      <c r="AN91">
        <v>45</v>
      </c>
      <c r="AO91">
        <v>42.26</v>
      </c>
      <c r="AP91">
        <v>0</v>
      </c>
      <c r="AQ91">
        <v>4.52</v>
      </c>
      <c r="AR91">
        <v>3.43</v>
      </c>
      <c r="AS91">
        <v>0</v>
      </c>
      <c r="AT91">
        <v>97</v>
      </c>
      <c r="AU91">
        <v>51</v>
      </c>
      <c r="AV91">
        <v>1</v>
      </c>
      <c r="AW91">
        <v>1</v>
      </c>
      <c r="AZ91">
        <v>1</v>
      </c>
      <c r="BA91">
        <v>28.93</v>
      </c>
      <c r="BB91">
        <v>1</v>
      </c>
      <c r="BC91">
        <v>1</v>
      </c>
      <c r="BH91">
        <v>0</v>
      </c>
      <c r="BI91">
        <v>2</v>
      </c>
      <c r="BJ91" t="s">
        <v>204</v>
      </c>
      <c r="BM91">
        <v>108001</v>
      </c>
      <c r="BN91">
        <v>0</v>
      </c>
      <c r="BP91">
        <v>0</v>
      </c>
      <c r="BQ91">
        <v>3</v>
      </c>
      <c r="BR91">
        <v>0</v>
      </c>
      <c r="BS91">
        <v>28.93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97</v>
      </c>
      <c r="CA91">
        <v>51</v>
      </c>
      <c r="CE91">
        <v>0</v>
      </c>
      <c r="CF91">
        <v>0</v>
      </c>
      <c r="CG91">
        <v>0</v>
      </c>
      <c r="CM91">
        <v>0</v>
      </c>
      <c r="CO91">
        <v>0</v>
      </c>
      <c r="CP91">
        <f t="shared" si="87"/>
        <v>871.9699999999999</v>
      </c>
      <c r="CQ91">
        <f t="shared" si="88"/>
        <v>3.61</v>
      </c>
      <c r="CR91">
        <f t="shared" si="89"/>
        <v>811.31</v>
      </c>
      <c r="CS91">
        <f t="shared" si="90"/>
        <v>60.75</v>
      </c>
      <c r="CT91">
        <f t="shared" si="91"/>
        <v>57.05</v>
      </c>
      <c r="CU91">
        <f t="shared" si="92"/>
        <v>0</v>
      </c>
      <c r="CV91">
        <f t="shared" si="93"/>
        <v>6.101999999999999</v>
      </c>
      <c r="CW91">
        <f t="shared" si="94"/>
        <v>4.6305000000000005</v>
      </c>
      <c r="CX91">
        <f t="shared" si="95"/>
        <v>0</v>
      </c>
      <c r="CY91">
        <f t="shared" si="96"/>
        <v>114.266</v>
      </c>
      <c r="CZ91">
        <f t="shared" si="97"/>
        <v>60.078</v>
      </c>
      <c r="DE91" t="s">
        <v>191</v>
      </c>
      <c r="DF91" t="s">
        <v>191</v>
      </c>
      <c r="DG91" t="s">
        <v>191</v>
      </c>
      <c r="DI91" t="s">
        <v>191</v>
      </c>
      <c r="DJ91" t="s">
        <v>191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203</v>
      </c>
      <c r="DW91" t="s">
        <v>203</v>
      </c>
      <c r="DX91">
        <v>1</v>
      </c>
      <c r="EE91">
        <v>37975922</v>
      </c>
      <c r="EF91">
        <v>3</v>
      </c>
      <c r="EG91" t="s">
        <v>165</v>
      </c>
      <c r="EH91">
        <v>0</v>
      </c>
      <c r="EJ91">
        <v>2</v>
      </c>
      <c r="EK91">
        <v>108001</v>
      </c>
      <c r="EL91" t="s">
        <v>171</v>
      </c>
      <c r="EM91" t="s">
        <v>172</v>
      </c>
      <c r="EQ91">
        <v>131072</v>
      </c>
      <c r="ER91">
        <v>646.84</v>
      </c>
      <c r="ES91">
        <v>3.61</v>
      </c>
      <c r="ET91">
        <v>600.97</v>
      </c>
      <c r="EU91">
        <v>45</v>
      </c>
      <c r="EV91">
        <v>42.26</v>
      </c>
      <c r="EW91">
        <v>4.52</v>
      </c>
      <c r="EX91">
        <v>3.43</v>
      </c>
      <c r="EY91">
        <v>0</v>
      </c>
      <c r="FQ91">
        <v>0</v>
      </c>
      <c r="FR91">
        <f t="shared" si="98"/>
        <v>0</v>
      </c>
      <c r="FS91">
        <v>0</v>
      </c>
      <c r="FX91">
        <v>97</v>
      </c>
      <c r="FY91">
        <v>51</v>
      </c>
      <c r="GD91">
        <v>1</v>
      </c>
      <c r="GF91">
        <v>73231840</v>
      </c>
      <c r="GG91">
        <v>2</v>
      </c>
      <c r="GH91">
        <v>1</v>
      </c>
      <c r="GI91">
        <v>4</v>
      </c>
      <c r="GJ91">
        <v>0</v>
      </c>
      <c r="GK91">
        <v>0</v>
      </c>
      <c r="GL91">
        <f t="shared" si="99"/>
        <v>0</v>
      </c>
      <c r="GM91">
        <f t="shared" si="100"/>
        <v>1046.32</v>
      </c>
      <c r="GN91">
        <f t="shared" si="101"/>
        <v>0</v>
      </c>
      <c r="GO91">
        <f t="shared" si="102"/>
        <v>1046.32</v>
      </c>
      <c r="GP91">
        <f t="shared" si="103"/>
        <v>0</v>
      </c>
      <c r="GR91">
        <v>0</v>
      </c>
      <c r="GS91">
        <v>3</v>
      </c>
      <c r="GT91">
        <v>0</v>
      </c>
      <c r="GV91">
        <f t="shared" si="104"/>
        <v>0</v>
      </c>
      <c r="GW91">
        <v>1</v>
      </c>
      <c r="GX91">
        <f t="shared" si="105"/>
        <v>0</v>
      </c>
      <c r="HA91">
        <v>0</v>
      </c>
      <c r="HB91">
        <v>0</v>
      </c>
      <c r="HC91">
        <f t="shared" si="106"/>
        <v>0</v>
      </c>
      <c r="HI91">
        <f t="shared" si="107"/>
        <v>1757.5</v>
      </c>
      <c r="HJ91">
        <f t="shared" si="108"/>
        <v>1650.46</v>
      </c>
      <c r="HK91">
        <f t="shared" si="109"/>
        <v>3305.72</v>
      </c>
      <c r="HL91">
        <f t="shared" si="110"/>
        <v>1738.06</v>
      </c>
      <c r="HN91" t="s">
        <v>173</v>
      </c>
      <c r="HO91" t="s">
        <v>174</v>
      </c>
      <c r="HP91" t="s">
        <v>171</v>
      </c>
      <c r="HQ91" t="s">
        <v>171</v>
      </c>
      <c r="IK91">
        <v>0</v>
      </c>
    </row>
    <row r="92" spans="1:245" ht="12.75">
      <c r="A92">
        <v>17</v>
      </c>
      <c r="B92">
        <v>1</v>
      </c>
      <c r="C92">
        <f>ROW(SmtRes!A100)</f>
        <v>100</v>
      </c>
      <c r="D92">
        <f>ROW(EtalonRes!A100)</f>
        <v>100</v>
      </c>
      <c r="E92" t="s">
        <v>205</v>
      </c>
      <c r="F92" t="s">
        <v>206</v>
      </c>
      <c r="G92" t="s">
        <v>207</v>
      </c>
      <c r="H92" t="s">
        <v>208</v>
      </c>
      <c r="I92">
        <f>ROUND(ROUND(4/100,4),7)</f>
        <v>0.04</v>
      </c>
      <c r="J92">
        <v>0</v>
      </c>
      <c r="K92">
        <f>ROUND(ROUND(4/100,4),7)</f>
        <v>0.04</v>
      </c>
      <c r="O92">
        <f t="shared" si="72"/>
        <v>7.74</v>
      </c>
      <c r="P92">
        <f t="shared" si="73"/>
        <v>0.11</v>
      </c>
      <c r="Q92">
        <f t="shared" si="74"/>
        <v>0</v>
      </c>
      <c r="R92">
        <f t="shared" si="75"/>
        <v>0</v>
      </c>
      <c r="S92">
        <f t="shared" si="76"/>
        <v>7.63</v>
      </c>
      <c r="T92">
        <f t="shared" si="77"/>
        <v>0</v>
      </c>
      <c r="U92">
        <f t="shared" si="78"/>
        <v>0.81648</v>
      </c>
      <c r="V92">
        <f t="shared" si="79"/>
        <v>0</v>
      </c>
      <c r="W92">
        <f t="shared" si="80"/>
        <v>0</v>
      </c>
      <c r="X92">
        <f t="shared" si="81"/>
        <v>7.4</v>
      </c>
      <c r="Y92">
        <f t="shared" si="82"/>
        <v>3.89</v>
      </c>
      <c r="AA92">
        <v>44571020</v>
      </c>
      <c r="AB92">
        <f t="shared" si="83"/>
        <v>193.68</v>
      </c>
      <c r="AC92">
        <f t="shared" si="84"/>
        <v>2.83</v>
      </c>
      <c r="AD92">
        <f>ROUND(((((ET92*ROUND(1.35,7)))-((EU92*ROUND(1.35,7))))+AE92),2)</f>
        <v>0</v>
      </c>
      <c r="AE92">
        <f t="shared" si="111"/>
        <v>0</v>
      </c>
      <c r="AF92">
        <f t="shared" si="111"/>
        <v>190.85</v>
      </c>
      <c r="AG92">
        <f t="shared" si="85"/>
        <v>0</v>
      </c>
      <c r="AH92">
        <f t="shared" si="112"/>
        <v>20.412</v>
      </c>
      <c r="AI92">
        <f t="shared" si="112"/>
        <v>0</v>
      </c>
      <c r="AJ92">
        <f t="shared" si="86"/>
        <v>0</v>
      </c>
      <c r="AK92">
        <v>144.2</v>
      </c>
      <c r="AL92">
        <v>2.83</v>
      </c>
      <c r="AM92">
        <v>0</v>
      </c>
      <c r="AN92">
        <v>0</v>
      </c>
      <c r="AO92">
        <v>141.37</v>
      </c>
      <c r="AP92">
        <v>0</v>
      </c>
      <c r="AQ92">
        <v>15.12</v>
      </c>
      <c r="AR92">
        <v>0</v>
      </c>
      <c r="AS92">
        <v>0</v>
      </c>
      <c r="AT92">
        <v>97</v>
      </c>
      <c r="AU92">
        <v>51</v>
      </c>
      <c r="AV92">
        <v>1</v>
      </c>
      <c r="AW92">
        <v>1</v>
      </c>
      <c r="AZ92">
        <v>1</v>
      </c>
      <c r="BA92">
        <v>28.93</v>
      </c>
      <c r="BB92">
        <v>1</v>
      </c>
      <c r="BC92">
        <v>1</v>
      </c>
      <c r="BH92">
        <v>0</v>
      </c>
      <c r="BI92">
        <v>2</v>
      </c>
      <c r="BJ92" t="s">
        <v>209</v>
      </c>
      <c r="BM92">
        <v>108001</v>
      </c>
      <c r="BN92">
        <v>0</v>
      </c>
      <c r="BP92">
        <v>0</v>
      </c>
      <c r="BQ92">
        <v>3</v>
      </c>
      <c r="BR92">
        <v>0</v>
      </c>
      <c r="BS92">
        <v>28.93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97</v>
      </c>
      <c r="CA92">
        <v>51</v>
      </c>
      <c r="CE92">
        <v>0</v>
      </c>
      <c r="CF92">
        <v>0</v>
      </c>
      <c r="CG92">
        <v>0</v>
      </c>
      <c r="CM92">
        <v>0</v>
      </c>
      <c r="CO92">
        <v>0</v>
      </c>
      <c r="CP92">
        <f t="shared" si="87"/>
        <v>7.74</v>
      </c>
      <c r="CQ92">
        <f t="shared" si="88"/>
        <v>2.83</v>
      </c>
      <c r="CR92">
        <f t="shared" si="89"/>
        <v>0</v>
      </c>
      <c r="CS92">
        <f t="shared" si="90"/>
        <v>0</v>
      </c>
      <c r="CT92">
        <f t="shared" si="91"/>
        <v>190.85</v>
      </c>
      <c r="CU92">
        <f t="shared" si="92"/>
        <v>0</v>
      </c>
      <c r="CV92">
        <f t="shared" si="93"/>
        <v>20.412</v>
      </c>
      <c r="CW92">
        <f t="shared" si="94"/>
        <v>0</v>
      </c>
      <c r="CX92">
        <f t="shared" si="95"/>
        <v>0</v>
      </c>
      <c r="CY92">
        <f t="shared" si="96"/>
        <v>7.4011000000000005</v>
      </c>
      <c r="CZ92">
        <f t="shared" si="97"/>
        <v>3.8912999999999998</v>
      </c>
      <c r="DE92" t="s">
        <v>191</v>
      </c>
      <c r="DF92" t="s">
        <v>191</v>
      </c>
      <c r="DG92" t="s">
        <v>191</v>
      </c>
      <c r="DI92" t="s">
        <v>191</v>
      </c>
      <c r="DJ92" t="s">
        <v>191</v>
      </c>
      <c r="DN92">
        <v>0</v>
      </c>
      <c r="DO92">
        <v>0</v>
      </c>
      <c r="DP92">
        <v>1</v>
      </c>
      <c r="DQ92">
        <v>1</v>
      </c>
      <c r="DU92">
        <v>1010</v>
      </c>
      <c r="DV92" t="s">
        <v>208</v>
      </c>
      <c r="DW92" t="s">
        <v>208</v>
      </c>
      <c r="DX92">
        <v>100</v>
      </c>
      <c r="EE92">
        <v>37975922</v>
      </c>
      <c r="EF92">
        <v>3</v>
      </c>
      <c r="EG92" t="s">
        <v>165</v>
      </c>
      <c r="EH92">
        <v>0</v>
      </c>
      <c r="EJ92">
        <v>2</v>
      </c>
      <c r="EK92">
        <v>108001</v>
      </c>
      <c r="EL92" t="s">
        <v>171</v>
      </c>
      <c r="EM92" t="s">
        <v>172</v>
      </c>
      <c r="EQ92">
        <v>131072</v>
      </c>
      <c r="ER92">
        <v>144.2</v>
      </c>
      <c r="ES92">
        <v>2.83</v>
      </c>
      <c r="ET92">
        <v>0</v>
      </c>
      <c r="EU92">
        <v>0</v>
      </c>
      <c r="EV92">
        <v>141.37</v>
      </c>
      <c r="EW92">
        <v>15.12</v>
      </c>
      <c r="EX92">
        <v>0</v>
      </c>
      <c r="EY92">
        <v>0</v>
      </c>
      <c r="FQ92">
        <v>0</v>
      </c>
      <c r="FR92">
        <f t="shared" si="98"/>
        <v>0</v>
      </c>
      <c r="FS92">
        <v>0</v>
      </c>
      <c r="FX92">
        <v>97</v>
      </c>
      <c r="FY92">
        <v>51</v>
      </c>
      <c r="GD92">
        <v>1</v>
      </c>
      <c r="GF92">
        <v>1653037448</v>
      </c>
      <c r="GG92">
        <v>2</v>
      </c>
      <c r="GH92">
        <v>1</v>
      </c>
      <c r="GI92">
        <v>4</v>
      </c>
      <c r="GJ92">
        <v>0</v>
      </c>
      <c r="GK92">
        <v>0</v>
      </c>
      <c r="GL92">
        <f t="shared" si="99"/>
        <v>0</v>
      </c>
      <c r="GM92">
        <f t="shared" si="100"/>
        <v>19.03</v>
      </c>
      <c r="GN92">
        <f t="shared" si="101"/>
        <v>0</v>
      </c>
      <c r="GO92">
        <f t="shared" si="102"/>
        <v>19.03</v>
      </c>
      <c r="GP92">
        <f t="shared" si="103"/>
        <v>0</v>
      </c>
      <c r="GR92">
        <v>0</v>
      </c>
      <c r="GS92">
        <v>3</v>
      </c>
      <c r="GT92">
        <v>0</v>
      </c>
      <c r="GV92">
        <f t="shared" si="104"/>
        <v>0</v>
      </c>
      <c r="GW92">
        <v>1</v>
      </c>
      <c r="GX92">
        <f t="shared" si="105"/>
        <v>0</v>
      </c>
      <c r="HA92">
        <v>0</v>
      </c>
      <c r="HB92">
        <v>0</v>
      </c>
      <c r="HC92">
        <f t="shared" si="106"/>
        <v>0</v>
      </c>
      <c r="HI92">
        <f t="shared" si="107"/>
        <v>0</v>
      </c>
      <c r="HJ92">
        <f t="shared" si="108"/>
        <v>220.74</v>
      </c>
      <c r="HK92">
        <f t="shared" si="109"/>
        <v>214.12</v>
      </c>
      <c r="HL92">
        <f t="shared" si="110"/>
        <v>112.58</v>
      </c>
      <c r="HN92" t="s">
        <v>173</v>
      </c>
      <c r="HO92" t="s">
        <v>174</v>
      </c>
      <c r="HP92" t="s">
        <v>171</v>
      </c>
      <c r="HQ92" t="s">
        <v>171</v>
      </c>
      <c r="IK92">
        <v>0</v>
      </c>
    </row>
    <row r="93" spans="1:245" ht="12.75">
      <c r="A93">
        <v>17</v>
      </c>
      <c r="B93">
        <v>1</v>
      </c>
      <c r="C93">
        <f>ROW(SmtRes!A109)</f>
        <v>109</v>
      </c>
      <c r="D93">
        <f>ROW(EtalonRes!A109)</f>
        <v>109</v>
      </c>
      <c r="E93" t="s">
        <v>210</v>
      </c>
      <c r="F93" t="s">
        <v>211</v>
      </c>
      <c r="G93" t="s">
        <v>212</v>
      </c>
      <c r="H93" t="s">
        <v>203</v>
      </c>
      <c r="I93">
        <f>ROUND(ROUND(1,4),7)</f>
        <v>1</v>
      </c>
      <c r="J93">
        <v>0</v>
      </c>
      <c r="K93">
        <f>ROUND(ROUND(1,4),7)</f>
        <v>1</v>
      </c>
      <c r="O93">
        <f t="shared" si="72"/>
        <v>137.72</v>
      </c>
      <c r="P93">
        <f t="shared" si="73"/>
        <v>20.54</v>
      </c>
      <c r="Q93">
        <f t="shared" si="74"/>
        <v>9.83</v>
      </c>
      <c r="R93">
        <f t="shared" si="75"/>
        <v>0.54</v>
      </c>
      <c r="S93">
        <f t="shared" si="76"/>
        <v>107.35</v>
      </c>
      <c r="T93">
        <f t="shared" si="77"/>
        <v>0</v>
      </c>
      <c r="U93">
        <f t="shared" si="78"/>
        <v>11.4816</v>
      </c>
      <c r="V93">
        <f t="shared" si="79"/>
        <v>0.08279999999999998</v>
      </c>
      <c r="W93">
        <f t="shared" si="80"/>
        <v>0</v>
      </c>
      <c r="X93">
        <f t="shared" si="81"/>
        <v>104.65</v>
      </c>
      <c r="Y93">
        <f t="shared" si="82"/>
        <v>55.02</v>
      </c>
      <c r="AA93">
        <v>44571020</v>
      </c>
      <c r="AB93">
        <f t="shared" si="83"/>
        <v>137.72</v>
      </c>
      <c r="AC93">
        <f t="shared" si="84"/>
        <v>20.54</v>
      </c>
      <c r="AD93">
        <f>ROUND(((((ET93*ROUND((1.15*1.2),7)))-((EU93*ROUND((1.15*1.2),7))))+AE93),2)</f>
        <v>9.83</v>
      </c>
      <c r="AE93">
        <f>ROUND(((EU93*ROUND((1.15*1.2),7))),2)</f>
        <v>0.54</v>
      </c>
      <c r="AF93">
        <f>ROUND(((EV93*ROUND((1.15*1.2),7))),2)</f>
        <v>107.35</v>
      </c>
      <c r="AG93">
        <f t="shared" si="85"/>
        <v>0</v>
      </c>
      <c r="AH93">
        <f>((EW93*ROUND((1.15*1.2),7)))</f>
        <v>11.4816</v>
      </c>
      <c r="AI93">
        <f>((EX93*ROUND((1.15*1.2),7)))</f>
        <v>0.08279999999999998</v>
      </c>
      <c r="AJ93">
        <f t="shared" si="86"/>
        <v>0</v>
      </c>
      <c r="AK93">
        <v>105.45</v>
      </c>
      <c r="AL93">
        <v>20.54</v>
      </c>
      <c r="AM93">
        <v>7.12</v>
      </c>
      <c r="AN93">
        <v>0.39</v>
      </c>
      <c r="AO93">
        <v>77.79</v>
      </c>
      <c r="AP93">
        <v>0</v>
      </c>
      <c r="AQ93">
        <v>8.32</v>
      </c>
      <c r="AR93">
        <v>0.06</v>
      </c>
      <c r="AS93">
        <v>0</v>
      </c>
      <c r="AT93">
        <v>97</v>
      </c>
      <c r="AU93">
        <v>51</v>
      </c>
      <c r="AV93">
        <v>1</v>
      </c>
      <c r="AW93">
        <v>1</v>
      </c>
      <c r="AZ93">
        <v>1</v>
      </c>
      <c r="BA93">
        <v>28.93</v>
      </c>
      <c r="BB93">
        <v>1</v>
      </c>
      <c r="BC93">
        <v>1</v>
      </c>
      <c r="BH93">
        <v>0</v>
      </c>
      <c r="BI93">
        <v>2</v>
      </c>
      <c r="BJ93" t="s">
        <v>213</v>
      </c>
      <c r="BM93">
        <v>108001</v>
      </c>
      <c r="BN93">
        <v>0</v>
      </c>
      <c r="BP93">
        <v>0</v>
      </c>
      <c r="BQ93">
        <v>3</v>
      </c>
      <c r="BR93">
        <v>0</v>
      </c>
      <c r="BS93">
        <v>28.93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97</v>
      </c>
      <c r="CA93">
        <v>51</v>
      </c>
      <c r="CE93">
        <v>0</v>
      </c>
      <c r="CF93">
        <v>0</v>
      </c>
      <c r="CG93">
        <v>0</v>
      </c>
      <c r="CM93">
        <v>0</v>
      </c>
      <c r="CO93">
        <v>0</v>
      </c>
      <c r="CP93">
        <f t="shared" si="87"/>
        <v>137.72</v>
      </c>
      <c r="CQ93">
        <f t="shared" si="88"/>
        <v>20.54</v>
      </c>
      <c r="CR93">
        <f t="shared" si="89"/>
        <v>9.83</v>
      </c>
      <c r="CS93">
        <f t="shared" si="90"/>
        <v>0.54</v>
      </c>
      <c r="CT93">
        <f t="shared" si="91"/>
        <v>107.35</v>
      </c>
      <c r="CU93">
        <f t="shared" si="92"/>
        <v>0</v>
      </c>
      <c r="CV93">
        <f t="shared" si="93"/>
        <v>11.4816</v>
      </c>
      <c r="CW93">
        <f t="shared" si="94"/>
        <v>0.08279999999999998</v>
      </c>
      <c r="CX93">
        <f t="shared" si="95"/>
        <v>0</v>
      </c>
      <c r="CY93">
        <f t="shared" si="96"/>
        <v>104.6533</v>
      </c>
      <c r="CZ93">
        <f t="shared" si="97"/>
        <v>55.023900000000005</v>
      </c>
      <c r="DE93" t="s">
        <v>86</v>
      </c>
      <c r="DF93" t="s">
        <v>86</v>
      </c>
      <c r="DG93" t="s">
        <v>86</v>
      </c>
      <c r="DI93" t="s">
        <v>86</v>
      </c>
      <c r="DJ93" t="s">
        <v>86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203</v>
      </c>
      <c r="DW93" t="s">
        <v>203</v>
      </c>
      <c r="DX93">
        <v>1</v>
      </c>
      <c r="EE93">
        <v>37975922</v>
      </c>
      <c r="EF93">
        <v>3</v>
      </c>
      <c r="EG93" t="s">
        <v>165</v>
      </c>
      <c r="EH93">
        <v>0</v>
      </c>
      <c r="EJ93">
        <v>2</v>
      </c>
      <c r="EK93">
        <v>108001</v>
      </c>
      <c r="EL93" t="s">
        <v>171</v>
      </c>
      <c r="EM93" t="s">
        <v>172</v>
      </c>
      <c r="EQ93">
        <v>131072</v>
      </c>
      <c r="ER93">
        <v>105.45</v>
      </c>
      <c r="ES93">
        <v>20.54</v>
      </c>
      <c r="ET93">
        <v>7.12</v>
      </c>
      <c r="EU93">
        <v>0.39</v>
      </c>
      <c r="EV93">
        <v>77.79</v>
      </c>
      <c r="EW93">
        <v>8.32</v>
      </c>
      <c r="EX93">
        <v>0.06</v>
      </c>
      <c r="EY93">
        <v>0</v>
      </c>
      <c r="FQ93">
        <v>0</v>
      </c>
      <c r="FR93">
        <f t="shared" si="98"/>
        <v>0</v>
      </c>
      <c r="FS93">
        <v>0</v>
      </c>
      <c r="FX93">
        <v>97</v>
      </c>
      <c r="FY93">
        <v>51</v>
      </c>
      <c r="GD93">
        <v>1</v>
      </c>
      <c r="GF93">
        <v>-2115273776</v>
      </c>
      <c r="GG93">
        <v>2</v>
      </c>
      <c r="GH93">
        <v>1</v>
      </c>
      <c r="GI93">
        <v>4</v>
      </c>
      <c r="GJ93">
        <v>0</v>
      </c>
      <c r="GK93">
        <v>0</v>
      </c>
      <c r="GL93">
        <f t="shared" si="99"/>
        <v>0</v>
      </c>
      <c r="GM93">
        <f t="shared" si="100"/>
        <v>297.39</v>
      </c>
      <c r="GN93">
        <f t="shared" si="101"/>
        <v>0</v>
      </c>
      <c r="GO93">
        <f t="shared" si="102"/>
        <v>297.39</v>
      </c>
      <c r="GP93">
        <f t="shared" si="103"/>
        <v>0</v>
      </c>
      <c r="GR93">
        <v>0</v>
      </c>
      <c r="GS93">
        <v>3</v>
      </c>
      <c r="GT93">
        <v>0</v>
      </c>
      <c r="GV93">
        <f t="shared" si="104"/>
        <v>0</v>
      </c>
      <c r="GW93">
        <v>1</v>
      </c>
      <c r="GX93">
        <f t="shared" si="105"/>
        <v>0</v>
      </c>
      <c r="HA93">
        <v>0</v>
      </c>
      <c r="HB93">
        <v>0</v>
      </c>
      <c r="HC93">
        <f t="shared" si="106"/>
        <v>0</v>
      </c>
      <c r="HI93">
        <f t="shared" si="107"/>
        <v>15.62</v>
      </c>
      <c r="HJ93">
        <f t="shared" si="108"/>
        <v>3105.64</v>
      </c>
      <c r="HK93">
        <f t="shared" si="109"/>
        <v>3027.62</v>
      </c>
      <c r="HL93">
        <f t="shared" si="110"/>
        <v>1591.84</v>
      </c>
      <c r="HN93" t="s">
        <v>173</v>
      </c>
      <c r="HO93" t="s">
        <v>174</v>
      </c>
      <c r="HP93" t="s">
        <v>171</v>
      </c>
      <c r="HQ93" t="s">
        <v>171</v>
      </c>
      <c r="IK93">
        <v>0</v>
      </c>
    </row>
    <row r="94" spans="1:245" ht="12.75">
      <c r="A94">
        <v>17</v>
      </c>
      <c r="B94">
        <v>1</v>
      </c>
      <c r="C94">
        <f>ROW(SmtRes!A115)</f>
        <v>115</v>
      </c>
      <c r="D94">
        <f>ROW(EtalonRes!A115)</f>
        <v>115</v>
      </c>
      <c r="E94" t="s">
        <v>214</v>
      </c>
      <c r="F94" t="s">
        <v>215</v>
      </c>
      <c r="G94" t="s">
        <v>216</v>
      </c>
      <c r="H94" t="s">
        <v>217</v>
      </c>
      <c r="I94">
        <f>ROUND(ROUND(6,4),7)</f>
        <v>6</v>
      </c>
      <c r="J94">
        <v>0</v>
      </c>
      <c r="K94">
        <f>ROUND(ROUND(6,4),7)</f>
        <v>6</v>
      </c>
      <c r="O94">
        <f t="shared" si="72"/>
        <v>136.14</v>
      </c>
      <c r="P94">
        <f t="shared" si="73"/>
        <v>106.74</v>
      </c>
      <c r="Q94">
        <f t="shared" si="74"/>
        <v>0</v>
      </c>
      <c r="R94">
        <f t="shared" si="75"/>
        <v>0</v>
      </c>
      <c r="S94">
        <f t="shared" si="76"/>
        <v>29.4</v>
      </c>
      <c r="T94">
        <f t="shared" si="77"/>
        <v>0</v>
      </c>
      <c r="U94">
        <f t="shared" si="78"/>
        <v>3.1464</v>
      </c>
      <c r="V94">
        <f t="shared" si="79"/>
        <v>0</v>
      </c>
      <c r="W94">
        <f t="shared" si="80"/>
        <v>0</v>
      </c>
      <c r="X94">
        <f t="shared" si="81"/>
        <v>28.52</v>
      </c>
      <c r="Y94">
        <f t="shared" si="82"/>
        <v>14.99</v>
      </c>
      <c r="AA94">
        <v>44571020</v>
      </c>
      <c r="AB94">
        <f t="shared" si="83"/>
        <v>22.69</v>
      </c>
      <c r="AC94">
        <f t="shared" si="84"/>
        <v>17.79</v>
      </c>
      <c r="AD94">
        <f>ROUND(((((ET94*ROUND((1.15*1.2),7)))-((EU94*ROUND((1.15*1.2),7))))+AE94),2)</f>
        <v>0</v>
      </c>
      <c r="AE94">
        <f>ROUND(((EU94*ROUND((1.15*1.2),7))),2)</f>
        <v>0</v>
      </c>
      <c r="AF94">
        <f>ROUND(((EV94*ROUND((1.15*1.2),7))),2)</f>
        <v>4.9</v>
      </c>
      <c r="AG94">
        <f t="shared" si="85"/>
        <v>0</v>
      </c>
      <c r="AH94">
        <f>((EW94*ROUND((1.15*1.2),7)))</f>
        <v>0.5244</v>
      </c>
      <c r="AI94">
        <f>((EX94*ROUND((1.15*1.2),7)))</f>
        <v>0</v>
      </c>
      <c r="AJ94">
        <f t="shared" si="86"/>
        <v>0</v>
      </c>
      <c r="AK94">
        <v>21.34</v>
      </c>
      <c r="AL94">
        <v>17.79</v>
      </c>
      <c r="AM94">
        <v>0</v>
      </c>
      <c r="AN94">
        <v>0</v>
      </c>
      <c r="AO94">
        <v>3.55</v>
      </c>
      <c r="AP94">
        <v>0</v>
      </c>
      <c r="AQ94">
        <v>0.38</v>
      </c>
      <c r="AR94">
        <v>0</v>
      </c>
      <c r="AS94">
        <v>0</v>
      </c>
      <c r="AT94">
        <v>97</v>
      </c>
      <c r="AU94">
        <v>51</v>
      </c>
      <c r="AV94">
        <v>1</v>
      </c>
      <c r="AW94">
        <v>1</v>
      </c>
      <c r="AZ94">
        <v>1</v>
      </c>
      <c r="BA94">
        <v>28.93</v>
      </c>
      <c r="BB94">
        <v>1</v>
      </c>
      <c r="BC94">
        <v>1</v>
      </c>
      <c r="BH94">
        <v>0</v>
      </c>
      <c r="BI94">
        <v>2</v>
      </c>
      <c r="BJ94" t="s">
        <v>218</v>
      </c>
      <c r="BM94">
        <v>108001</v>
      </c>
      <c r="BN94">
        <v>0</v>
      </c>
      <c r="BP94">
        <v>0</v>
      </c>
      <c r="BQ94">
        <v>3</v>
      </c>
      <c r="BR94">
        <v>0</v>
      </c>
      <c r="BS94">
        <v>28.93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97</v>
      </c>
      <c r="CA94">
        <v>51</v>
      </c>
      <c r="CE94">
        <v>0</v>
      </c>
      <c r="CF94">
        <v>0</v>
      </c>
      <c r="CG94">
        <v>0</v>
      </c>
      <c r="CM94">
        <v>0</v>
      </c>
      <c r="CO94">
        <v>0</v>
      </c>
      <c r="CP94">
        <f t="shared" si="87"/>
        <v>136.14</v>
      </c>
      <c r="CQ94">
        <f t="shared" si="88"/>
        <v>17.79</v>
      </c>
      <c r="CR94">
        <f t="shared" si="89"/>
        <v>0</v>
      </c>
      <c r="CS94">
        <f t="shared" si="90"/>
        <v>0</v>
      </c>
      <c r="CT94">
        <f t="shared" si="91"/>
        <v>4.9</v>
      </c>
      <c r="CU94">
        <f t="shared" si="92"/>
        <v>0</v>
      </c>
      <c r="CV94">
        <f t="shared" si="93"/>
        <v>0.5244</v>
      </c>
      <c r="CW94">
        <f t="shared" si="94"/>
        <v>0</v>
      </c>
      <c r="CX94">
        <f t="shared" si="95"/>
        <v>0</v>
      </c>
      <c r="CY94">
        <f t="shared" si="96"/>
        <v>28.517999999999997</v>
      </c>
      <c r="CZ94">
        <f t="shared" si="97"/>
        <v>14.993999999999998</v>
      </c>
      <c r="DE94" t="s">
        <v>86</v>
      </c>
      <c r="DF94" t="s">
        <v>86</v>
      </c>
      <c r="DG94" t="s">
        <v>86</v>
      </c>
      <c r="DI94" t="s">
        <v>86</v>
      </c>
      <c r="DJ94" t="s">
        <v>86</v>
      </c>
      <c r="DN94">
        <v>0</v>
      </c>
      <c r="DO94">
        <v>0</v>
      </c>
      <c r="DP94">
        <v>1</v>
      </c>
      <c r="DQ94">
        <v>1</v>
      </c>
      <c r="DU94">
        <v>1013</v>
      </c>
      <c r="DV94" t="s">
        <v>217</v>
      </c>
      <c r="DW94" t="s">
        <v>217</v>
      </c>
      <c r="DX94">
        <v>1</v>
      </c>
      <c r="EE94">
        <v>37975922</v>
      </c>
      <c r="EF94">
        <v>3</v>
      </c>
      <c r="EG94" t="s">
        <v>165</v>
      </c>
      <c r="EH94">
        <v>0</v>
      </c>
      <c r="EJ94">
        <v>2</v>
      </c>
      <c r="EK94">
        <v>108001</v>
      </c>
      <c r="EL94" t="s">
        <v>171</v>
      </c>
      <c r="EM94" t="s">
        <v>172</v>
      </c>
      <c r="EQ94">
        <v>0</v>
      </c>
      <c r="ER94">
        <v>21.34</v>
      </c>
      <c r="ES94">
        <v>17.79</v>
      </c>
      <c r="ET94">
        <v>0</v>
      </c>
      <c r="EU94">
        <v>0</v>
      </c>
      <c r="EV94">
        <v>3.55</v>
      </c>
      <c r="EW94">
        <v>0.38</v>
      </c>
      <c r="EX94">
        <v>0</v>
      </c>
      <c r="EY94">
        <v>0</v>
      </c>
      <c r="FQ94">
        <v>0</v>
      </c>
      <c r="FR94">
        <f t="shared" si="98"/>
        <v>0</v>
      </c>
      <c r="FS94">
        <v>0</v>
      </c>
      <c r="FX94">
        <v>97</v>
      </c>
      <c r="FY94">
        <v>51</v>
      </c>
      <c r="GD94">
        <v>1</v>
      </c>
      <c r="GF94">
        <v>-1533176068</v>
      </c>
      <c r="GG94">
        <v>2</v>
      </c>
      <c r="GH94">
        <v>1</v>
      </c>
      <c r="GI94">
        <v>4</v>
      </c>
      <c r="GJ94">
        <v>0</v>
      </c>
      <c r="GK94">
        <v>0</v>
      </c>
      <c r="GL94">
        <f t="shared" si="99"/>
        <v>0</v>
      </c>
      <c r="GM94">
        <f t="shared" si="100"/>
        <v>179.65</v>
      </c>
      <c r="GN94">
        <f t="shared" si="101"/>
        <v>0</v>
      </c>
      <c r="GO94">
        <f t="shared" si="102"/>
        <v>179.65</v>
      </c>
      <c r="GP94">
        <f t="shared" si="103"/>
        <v>0</v>
      </c>
      <c r="GR94">
        <v>0</v>
      </c>
      <c r="GS94">
        <v>3</v>
      </c>
      <c r="GT94">
        <v>0</v>
      </c>
      <c r="GV94">
        <f t="shared" si="104"/>
        <v>0</v>
      </c>
      <c r="GW94">
        <v>1</v>
      </c>
      <c r="GX94">
        <f t="shared" si="105"/>
        <v>0</v>
      </c>
      <c r="HA94">
        <v>0</v>
      </c>
      <c r="HB94">
        <v>0</v>
      </c>
      <c r="HC94">
        <f t="shared" si="106"/>
        <v>0</v>
      </c>
      <c r="HI94">
        <f t="shared" si="107"/>
        <v>0</v>
      </c>
      <c r="HJ94">
        <f t="shared" si="108"/>
        <v>850.54</v>
      </c>
      <c r="HK94">
        <f t="shared" si="109"/>
        <v>825.02</v>
      </c>
      <c r="HL94">
        <f t="shared" si="110"/>
        <v>433.78</v>
      </c>
      <c r="HN94" t="s">
        <v>173</v>
      </c>
      <c r="HO94" t="s">
        <v>174</v>
      </c>
      <c r="HP94" t="s">
        <v>171</v>
      </c>
      <c r="HQ94" t="s">
        <v>171</v>
      </c>
      <c r="IK94">
        <v>0</v>
      </c>
    </row>
    <row r="95" spans="1:245" ht="12.75">
      <c r="A95">
        <v>18</v>
      </c>
      <c r="B95">
        <v>1</v>
      </c>
      <c r="C95">
        <v>113</v>
      </c>
      <c r="E95" t="s">
        <v>219</v>
      </c>
      <c r="F95" t="s">
        <v>220</v>
      </c>
      <c r="G95" t="s">
        <v>221</v>
      </c>
      <c r="H95" t="s">
        <v>222</v>
      </c>
      <c r="I95">
        <f>I94*J95</f>
        <v>-4.32</v>
      </c>
      <c r="J95">
        <v>-0.7200000000000001</v>
      </c>
      <c r="K95">
        <v>-0.72</v>
      </c>
      <c r="O95">
        <f t="shared" si="72"/>
        <v>-86.14</v>
      </c>
      <c r="P95">
        <f t="shared" si="73"/>
        <v>-86.14</v>
      </c>
      <c r="Q95">
        <f t="shared" si="74"/>
        <v>0</v>
      </c>
      <c r="R95">
        <f t="shared" si="75"/>
        <v>0</v>
      </c>
      <c r="S95">
        <f t="shared" si="76"/>
        <v>0</v>
      </c>
      <c r="T95">
        <f t="shared" si="77"/>
        <v>0</v>
      </c>
      <c r="U95">
        <f t="shared" si="78"/>
        <v>0</v>
      </c>
      <c r="V95">
        <f t="shared" si="79"/>
        <v>0</v>
      </c>
      <c r="W95">
        <f t="shared" si="80"/>
        <v>0</v>
      </c>
      <c r="X95">
        <f t="shared" si="81"/>
        <v>0</v>
      </c>
      <c r="Y95">
        <f t="shared" si="82"/>
        <v>0</v>
      </c>
      <c r="AA95">
        <v>44571020</v>
      </c>
      <c r="AB95">
        <f t="shared" si="83"/>
        <v>19.94</v>
      </c>
      <c r="AC95">
        <f t="shared" si="84"/>
        <v>19.94</v>
      </c>
      <c r="AD95">
        <f>ROUND((((ET95)-(EU95))+AE95),2)</f>
        <v>0</v>
      </c>
      <c r="AE95">
        <f>ROUND((EU95),2)</f>
        <v>0</v>
      </c>
      <c r="AF95">
        <f>ROUND((EV95),2)</f>
        <v>0</v>
      </c>
      <c r="AG95">
        <f t="shared" si="85"/>
        <v>0</v>
      </c>
      <c r="AH95">
        <f>(EW95)</f>
        <v>0</v>
      </c>
      <c r="AI95">
        <f>(EX95)</f>
        <v>0</v>
      </c>
      <c r="AJ95">
        <f t="shared" si="86"/>
        <v>0</v>
      </c>
      <c r="AK95">
        <v>19.94</v>
      </c>
      <c r="AL95">
        <v>19.94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1</v>
      </c>
      <c r="BH95">
        <v>3</v>
      </c>
      <c r="BI95">
        <v>2</v>
      </c>
      <c r="BJ95" t="s">
        <v>223</v>
      </c>
      <c r="BM95">
        <v>500002</v>
      </c>
      <c r="BN95">
        <v>0</v>
      </c>
      <c r="BP95">
        <v>0</v>
      </c>
      <c r="BQ95">
        <v>12</v>
      </c>
      <c r="BR95">
        <v>1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0</v>
      </c>
      <c r="CA95">
        <v>0</v>
      </c>
      <c r="CE95">
        <v>0</v>
      </c>
      <c r="CF95">
        <v>0</v>
      </c>
      <c r="CG95">
        <v>0</v>
      </c>
      <c r="CM95">
        <v>0</v>
      </c>
      <c r="CO95">
        <v>0</v>
      </c>
      <c r="CP95">
        <f t="shared" si="87"/>
        <v>-86.14</v>
      </c>
      <c r="CQ95">
        <f t="shared" si="88"/>
        <v>19.94</v>
      </c>
      <c r="CR95">
        <f t="shared" si="89"/>
        <v>0</v>
      </c>
      <c r="CS95">
        <f t="shared" si="90"/>
        <v>0</v>
      </c>
      <c r="CT95">
        <f t="shared" si="91"/>
        <v>0</v>
      </c>
      <c r="CU95">
        <f t="shared" si="92"/>
        <v>0</v>
      </c>
      <c r="CV95">
        <f t="shared" si="93"/>
        <v>0</v>
      </c>
      <c r="CW95">
        <f t="shared" si="94"/>
        <v>0</v>
      </c>
      <c r="CX95">
        <f t="shared" si="95"/>
        <v>0</v>
      </c>
      <c r="CY95">
        <f t="shared" si="96"/>
        <v>0</v>
      </c>
      <c r="CZ95">
        <f t="shared" si="97"/>
        <v>0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222</v>
      </c>
      <c r="DW95" t="s">
        <v>222</v>
      </c>
      <c r="DX95">
        <v>1</v>
      </c>
      <c r="EE95">
        <v>37975978</v>
      </c>
      <c r="EF95">
        <v>12</v>
      </c>
      <c r="EG95" t="s">
        <v>224</v>
      </c>
      <c r="EH95">
        <v>0</v>
      </c>
      <c r="EJ95">
        <v>2</v>
      </c>
      <c r="EK95">
        <v>500002</v>
      </c>
      <c r="EL95" t="s">
        <v>225</v>
      </c>
      <c r="EM95" t="s">
        <v>226</v>
      </c>
      <c r="EQ95">
        <v>0</v>
      </c>
      <c r="ER95">
        <v>19.94</v>
      </c>
      <c r="ES95">
        <v>19.94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98"/>
        <v>0</v>
      </c>
      <c r="FS95">
        <v>0</v>
      </c>
      <c r="FX95">
        <v>0</v>
      </c>
      <c r="FY95">
        <v>0</v>
      </c>
      <c r="GD95">
        <v>1</v>
      </c>
      <c r="GF95">
        <v>-1780330431</v>
      </c>
      <c r="GG95">
        <v>2</v>
      </c>
      <c r="GH95">
        <v>1</v>
      </c>
      <c r="GI95">
        <v>4</v>
      </c>
      <c r="GJ95">
        <v>0</v>
      </c>
      <c r="GK95">
        <v>0</v>
      </c>
      <c r="GL95">
        <f t="shared" si="99"/>
        <v>0</v>
      </c>
      <c r="GM95">
        <f t="shared" si="100"/>
        <v>-86.14</v>
      </c>
      <c r="GN95">
        <f t="shared" si="101"/>
        <v>0</v>
      </c>
      <c r="GO95">
        <f t="shared" si="102"/>
        <v>-86.14</v>
      </c>
      <c r="GP95">
        <f t="shared" si="103"/>
        <v>0</v>
      </c>
      <c r="GR95">
        <v>0</v>
      </c>
      <c r="GS95">
        <v>3</v>
      </c>
      <c r="GT95">
        <v>0</v>
      </c>
      <c r="GV95">
        <f t="shared" si="104"/>
        <v>0</v>
      </c>
      <c r="GW95">
        <v>1</v>
      </c>
      <c r="GX95">
        <f t="shared" si="105"/>
        <v>0</v>
      </c>
      <c r="HA95">
        <v>0</v>
      </c>
      <c r="HB95">
        <v>0</v>
      </c>
      <c r="HC95">
        <f t="shared" si="106"/>
        <v>0</v>
      </c>
      <c r="HI95">
        <f t="shared" si="107"/>
        <v>0</v>
      </c>
      <c r="HJ95">
        <f t="shared" si="108"/>
        <v>0</v>
      </c>
      <c r="HK95">
        <f t="shared" si="109"/>
        <v>0</v>
      </c>
      <c r="HL95">
        <f t="shared" si="110"/>
        <v>0</v>
      </c>
      <c r="IK95">
        <v>0</v>
      </c>
    </row>
    <row r="96" spans="1:245" ht="12.75">
      <c r="A96">
        <v>17</v>
      </c>
      <c r="B96">
        <v>1</v>
      </c>
      <c r="C96">
        <f>ROW(SmtRes!A126)</f>
        <v>126</v>
      </c>
      <c r="D96">
        <f>ROW(EtalonRes!A126)</f>
        <v>126</v>
      </c>
      <c r="E96" t="s">
        <v>227</v>
      </c>
      <c r="F96" t="s">
        <v>228</v>
      </c>
      <c r="G96" t="s">
        <v>229</v>
      </c>
      <c r="H96" t="s">
        <v>203</v>
      </c>
      <c r="I96">
        <v>3</v>
      </c>
      <c r="J96">
        <v>0</v>
      </c>
      <c r="K96">
        <v>3</v>
      </c>
      <c r="O96">
        <f t="shared" si="72"/>
        <v>64.11</v>
      </c>
      <c r="P96">
        <f t="shared" si="73"/>
        <v>10.71</v>
      </c>
      <c r="Q96">
        <f t="shared" si="74"/>
        <v>1.14</v>
      </c>
      <c r="R96">
        <f t="shared" si="75"/>
        <v>0</v>
      </c>
      <c r="S96">
        <f t="shared" si="76"/>
        <v>52.26</v>
      </c>
      <c r="T96">
        <f t="shared" si="77"/>
        <v>0</v>
      </c>
      <c r="U96">
        <f t="shared" si="78"/>
        <v>4.9815000000000005</v>
      </c>
      <c r="V96">
        <f t="shared" si="79"/>
        <v>0</v>
      </c>
      <c r="W96">
        <f t="shared" si="80"/>
        <v>0</v>
      </c>
      <c r="X96">
        <f t="shared" si="81"/>
        <v>50.69</v>
      </c>
      <c r="Y96">
        <f t="shared" si="82"/>
        <v>26.65</v>
      </c>
      <c r="AA96">
        <v>44571020</v>
      </c>
      <c r="AB96">
        <f t="shared" si="83"/>
        <v>21.37</v>
      </c>
      <c r="AC96">
        <f t="shared" si="84"/>
        <v>3.57</v>
      </c>
      <c r="AD96">
        <f>ROUND(((((ET96*ROUND(1.35,7)))-((EU96*ROUND(1.35,7))))+AE96),2)</f>
        <v>0.38</v>
      </c>
      <c r="AE96">
        <f>ROUND(((EU96*ROUND(1.35,7))),2)</f>
        <v>0</v>
      </c>
      <c r="AF96">
        <f>ROUND(((EV96*ROUND(1.35,7))),2)</f>
        <v>17.42</v>
      </c>
      <c r="AG96">
        <f t="shared" si="85"/>
        <v>0</v>
      </c>
      <c r="AH96">
        <f>((EW96*ROUND(1.35,7)))</f>
        <v>1.6605</v>
      </c>
      <c r="AI96">
        <f>((EX96*ROUND(1.35,7)))</f>
        <v>0</v>
      </c>
      <c r="AJ96">
        <f t="shared" si="86"/>
        <v>0</v>
      </c>
      <c r="AK96">
        <v>16.75</v>
      </c>
      <c r="AL96">
        <v>3.57</v>
      </c>
      <c r="AM96">
        <v>0.28</v>
      </c>
      <c r="AN96">
        <v>0</v>
      </c>
      <c r="AO96">
        <v>12.9</v>
      </c>
      <c r="AP96">
        <v>0</v>
      </c>
      <c r="AQ96">
        <v>1.23</v>
      </c>
      <c r="AR96">
        <v>0</v>
      </c>
      <c r="AS96">
        <v>0</v>
      </c>
      <c r="AT96">
        <v>97</v>
      </c>
      <c r="AU96">
        <v>51</v>
      </c>
      <c r="AV96">
        <v>1</v>
      </c>
      <c r="AW96">
        <v>1</v>
      </c>
      <c r="AZ96">
        <v>1</v>
      </c>
      <c r="BA96">
        <v>28.93</v>
      </c>
      <c r="BB96">
        <v>1</v>
      </c>
      <c r="BC96">
        <v>1</v>
      </c>
      <c r="BH96">
        <v>0</v>
      </c>
      <c r="BI96">
        <v>2</v>
      </c>
      <c r="BJ96" t="s">
        <v>230</v>
      </c>
      <c r="BM96">
        <v>108001</v>
      </c>
      <c r="BN96">
        <v>0</v>
      </c>
      <c r="BP96">
        <v>0</v>
      </c>
      <c r="BQ96">
        <v>3</v>
      </c>
      <c r="BR96">
        <v>0</v>
      </c>
      <c r="BS96">
        <v>28.93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97</v>
      </c>
      <c r="CA96">
        <v>51</v>
      </c>
      <c r="CE96">
        <v>0</v>
      </c>
      <c r="CF96">
        <v>0</v>
      </c>
      <c r="CG96">
        <v>0</v>
      </c>
      <c r="CM96">
        <v>0</v>
      </c>
      <c r="CO96">
        <v>0</v>
      </c>
      <c r="CP96">
        <f t="shared" si="87"/>
        <v>64.11</v>
      </c>
      <c r="CQ96">
        <f t="shared" si="88"/>
        <v>3.57</v>
      </c>
      <c r="CR96">
        <f t="shared" si="89"/>
        <v>0.38</v>
      </c>
      <c r="CS96">
        <f t="shared" si="90"/>
        <v>0</v>
      </c>
      <c r="CT96">
        <f t="shared" si="91"/>
        <v>17.42</v>
      </c>
      <c r="CU96">
        <f t="shared" si="92"/>
        <v>0</v>
      </c>
      <c r="CV96">
        <f t="shared" si="93"/>
        <v>1.6605</v>
      </c>
      <c r="CW96">
        <f t="shared" si="94"/>
        <v>0</v>
      </c>
      <c r="CX96">
        <f t="shared" si="95"/>
        <v>0</v>
      </c>
      <c r="CY96">
        <f t="shared" si="96"/>
        <v>50.6922</v>
      </c>
      <c r="CZ96">
        <f t="shared" si="97"/>
        <v>26.652599999999996</v>
      </c>
      <c r="DE96" t="s">
        <v>191</v>
      </c>
      <c r="DF96" t="s">
        <v>191</v>
      </c>
      <c r="DG96" t="s">
        <v>191</v>
      </c>
      <c r="DI96" t="s">
        <v>191</v>
      </c>
      <c r="DJ96" t="s">
        <v>191</v>
      </c>
      <c r="DN96">
        <v>0</v>
      </c>
      <c r="DO96">
        <v>0</v>
      </c>
      <c r="DP96">
        <v>1</v>
      </c>
      <c r="DQ96">
        <v>1</v>
      </c>
      <c r="DU96">
        <v>1013</v>
      </c>
      <c r="DV96" t="s">
        <v>203</v>
      </c>
      <c r="DW96" t="s">
        <v>203</v>
      </c>
      <c r="DX96">
        <v>1</v>
      </c>
      <c r="EE96">
        <v>37975922</v>
      </c>
      <c r="EF96">
        <v>3</v>
      </c>
      <c r="EG96" t="s">
        <v>165</v>
      </c>
      <c r="EH96">
        <v>0</v>
      </c>
      <c r="EJ96">
        <v>2</v>
      </c>
      <c r="EK96">
        <v>108001</v>
      </c>
      <c r="EL96" t="s">
        <v>171</v>
      </c>
      <c r="EM96" t="s">
        <v>172</v>
      </c>
      <c r="EQ96">
        <v>0</v>
      </c>
      <c r="ER96">
        <v>16.75</v>
      </c>
      <c r="ES96">
        <v>3.57</v>
      </c>
      <c r="ET96">
        <v>0.28</v>
      </c>
      <c r="EU96">
        <v>0</v>
      </c>
      <c r="EV96">
        <v>12.9</v>
      </c>
      <c r="EW96">
        <v>1.23</v>
      </c>
      <c r="EX96">
        <v>0</v>
      </c>
      <c r="EY96">
        <v>0</v>
      </c>
      <c r="FQ96">
        <v>0</v>
      </c>
      <c r="FR96">
        <f t="shared" si="98"/>
        <v>0</v>
      </c>
      <c r="FS96">
        <v>0</v>
      </c>
      <c r="FX96">
        <v>97</v>
      </c>
      <c r="FY96">
        <v>51</v>
      </c>
      <c r="GD96">
        <v>1</v>
      </c>
      <c r="GF96">
        <v>808123664</v>
      </c>
      <c r="GG96">
        <v>2</v>
      </c>
      <c r="GH96">
        <v>1</v>
      </c>
      <c r="GI96">
        <v>4</v>
      </c>
      <c r="GJ96">
        <v>0</v>
      </c>
      <c r="GK96">
        <v>0</v>
      </c>
      <c r="GL96">
        <f t="shared" si="99"/>
        <v>0</v>
      </c>
      <c r="GM96">
        <f t="shared" si="100"/>
        <v>141.45</v>
      </c>
      <c r="GN96">
        <f t="shared" si="101"/>
        <v>0</v>
      </c>
      <c r="GO96">
        <f t="shared" si="102"/>
        <v>141.45</v>
      </c>
      <c r="GP96">
        <f t="shared" si="103"/>
        <v>0</v>
      </c>
      <c r="GR96">
        <v>0</v>
      </c>
      <c r="GS96">
        <v>3</v>
      </c>
      <c r="GT96">
        <v>0</v>
      </c>
      <c r="GV96">
        <f t="shared" si="104"/>
        <v>0</v>
      </c>
      <c r="GW96">
        <v>1</v>
      </c>
      <c r="GX96">
        <f t="shared" si="105"/>
        <v>0</v>
      </c>
      <c r="HA96">
        <v>0</v>
      </c>
      <c r="HB96">
        <v>0</v>
      </c>
      <c r="HC96">
        <f t="shared" si="106"/>
        <v>0</v>
      </c>
      <c r="HI96">
        <f t="shared" si="107"/>
        <v>0</v>
      </c>
      <c r="HJ96">
        <f t="shared" si="108"/>
        <v>1511.88</v>
      </c>
      <c r="HK96">
        <f t="shared" si="109"/>
        <v>1466.52</v>
      </c>
      <c r="HL96">
        <f t="shared" si="110"/>
        <v>771.06</v>
      </c>
      <c r="HN96" t="s">
        <v>173</v>
      </c>
      <c r="HO96" t="s">
        <v>174</v>
      </c>
      <c r="HP96" t="s">
        <v>171</v>
      </c>
      <c r="HQ96" t="s">
        <v>171</v>
      </c>
      <c r="IK96">
        <v>0</v>
      </c>
    </row>
    <row r="98" spans="1:206" ht="12.75">
      <c r="A98" s="2">
        <v>51</v>
      </c>
      <c r="B98" s="2">
        <f>B80</f>
        <v>1</v>
      </c>
      <c r="C98" s="2">
        <f>A80</f>
        <v>4</v>
      </c>
      <c r="D98" s="2">
        <f>ROW(A80)</f>
        <v>80</v>
      </c>
      <c r="E98" s="2"/>
      <c r="F98" s="2" t="str">
        <f>IF(F80&lt;&gt;"",F80,"")</f>
        <v>Новый раздел</v>
      </c>
      <c r="G98" s="2" t="str">
        <f>IF(G80&lt;&gt;"",G80,"")</f>
        <v>Монтажные работы</v>
      </c>
      <c r="H98" s="2">
        <v>0</v>
      </c>
      <c r="I98" s="2"/>
      <c r="J98" s="2"/>
      <c r="K98" s="2"/>
      <c r="L98" s="2"/>
      <c r="M98" s="2"/>
      <c r="N98" s="2"/>
      <c r="O98" s="2">
        <f aca="true" t="shared" si="113" ref="O98:T98">ROUND(AB98,2)</f>
        <v>2957.6</v>
      </c>
      <c r="P98" s="2">
        <f t="shared" si="113"/>
        <v>187.12</v>
      </c>
      <c r="Q98" s="2">
        <f t="shared" si="113"/>
        <v>2053.22</v>
      </c>
      <c r="R98" s="2">
        <f t="shared" si="113"/>
        <v>99.32</v>
      </c>
      <c r="S98" s="2">
        <f t="shared" si="113"/>
        <v>717.26</v>
      </c>
      <c r="T98" s="2">
        <f t="shared" si="113"/>
        <v>0</v>
      </c>
      <c r="U98" s="2">
        <f>AH98</f>
        <v>76.10828099999999</v>
      </c>
      <c r="V98" s="2">
        <f>AI98</f>
        <v>8.480430000000002</v>
      </c>
      <c r="W98" s="2">
        <f>ROUND(AJ98,2)</f>
        <v>0</v>
      </c>
      <c r="X98" s="2">
        <f>ROUND(AK98,2)</f>
        <v>792.08</v>
      </c>
      <c r="Y98" s="2">
        <f>ROUND(AL98,2)</f>
        <v>416.44</v>
      </c>
      <c r="Z98" s="2"/>
      <c r="AA98" s="2"/>
      <c r="AB98" s="2">
        <f>ROUND(SUMIF(AA84:AA96,"=44571020",O84:O96),2)</f>
        <v>2957.6</v>
      </c>
      <c r="AC98" s="2">
        <f>ROUND(SUMIF(AA84:AA96,"=44571020",P84:P96),2)</f>
        <v>187.12</v>
      </c>
      <c r="AD98" s="2">
        <f>ROUND(SUMIF(AA84:AA96,"=44571020",Q84:Q96),2)</f>
        <v>2053.22</v>
      </c>
      <c r="AE98" s="2">
        <f>ROUND(SUMIF(AA84:AA96,"=44571020",R84:R96),2)</f>
        <v>99.32</v>
      </c>
      <c r="AF98" s="2">
        <f>ROUND(SUMIF(AA84:AA96,"=44571020",S84:S96),2)</f>
        <v>717.26</v>
      </c>
      <c r="AG98" s="2">
        <f>ROUND(SUMIF(AA84:AA96,"=44571020",T84:T96),2)</f>
        <v>0</v>
      </c>
      <c r="AH98" s="2">
        <f>SUMIF(AA84:AA96,"=44571020",U84:U96)</f>
        <v>76.10828099999999</v>
      </c>
      <c r="AI98" s="2">
        <f>SUMIF(AA84:AA96,"=44571020",V84:V96)</f>
        <v>8.480430000000002</v>
      </c>
      <c r="AJ98" s="2">
        <f>ROUND(SUMIF(AA84:AA96,"=44571020",W84:W96),2)</f>
        <v>0</v>
      </c>
      <c r="AK98" s="2">
        <f>ROUND(SUMIF(AA84:AA96,"=44571020",X84:X96),2)</f>
        <v>792.08</v>
      </c>
      <c r="AL98" s="2">
        <f>ROUND(SUMIF(AA84:AA96,"=44571020",Y84:Y96),2)</f>
        <v>416.44</v>
      </c>
      <c r="AM98" s="2"/>
      <c r="AN98" s="2"/>
      <c r="AO98" s="2">
        <f aca="true" t="shared" si="114" ref="AO98:BD98">ROUND(BX98,2)</f>
        <v>0</v>
      </c>
      <c r="AP98" s="2">
        <f t="shared" si="114"/>
        <v>0</v>
      </c>
      <c r="AQ98" s="2">
        <f t="shared" si="114"/>
        <v>0</v>
      </c>
      <c r="AR98" s="2">
        <f t="shared" si="114"/>
        <v>4166.12</v>
      </c>
      <c r="AS98" s="2">
        <f t="shared" si="114"/>
        <v>0</v>
      </c>
      <c r="AT98" s="2">
        <f t="shared" si="114"/>
        <v>4166.12</v>
      </c>
      <c r="AU98" s="2">
        <f t="shared" si="114"/>
        <v>0</v>
      </c>
      <c r="AV98" s="2">
        <f t="shared" si="114"/>
        <v>187.12</v>
      </c>
      <c r="AW98" s="2">
        <f t="shared" si="114"/>
        <v>187.12</v>
      </c>
      <c r="AX98" s="2">
        <f t="shared" si="114"/>
        <v>0</v>
      </c>
      <c r="AY98" s="2">
        <f t="shared" si="114"/>
        <v>187.12</v>
      </c>
      <c r="AZ98" s="2">
        <f t="shared" si="114"/>
        <v>0</v>
      </c>
      <c r="BA98" s="2">
        <f t="shared" si="114"/>
        <v>0</v>
      </c>
      <c r="BB98" s="2">
        <f t="shared" si="114"/>
        <v>0</v>
      </c>
      <c r="BC98" s="2">
        <f t="shared" si="114"/>
        <v>0</v>
      </c>
      <c r="BD98" s="2">
        <f t="shared" si="114"/>
        <v>0</v>
      </c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>
        <f>ROUND(SUMIF(AA84:AA96,"=44571020",FQ84:FQ96),2)</f>
        <v>0</v>
      </c>
      <c r="BY98" s="2">
        <f>ROUND(SUMIF(AA84:AA96,"=44571020",FR84:FR96),2)</f>
        <v>0</v>
      </c>
      <c r="BZ98" s="2">
        <f>ROUND(SUMIF(AA84:AA96,"=44571020",GL84:GL96),2)</f>
        <v>0</v>
      </c>
      <c r="CA98" s="2">
        <f>ROUND(SUMIF(AA84:AA96,"=44571020",GM84:GM96),2)</f>
        <v>4166.12</v>
      </c>
      <c r="CB98" s="2">
        <f>ROUND(SUMIF(AA84:AA96,"=44571020",GN84:GN96),2)</f>
        <v>0</v>
      </c>
      <c r="CC98" s="2">
        <f>ROUND(SUMIF(AA84:AA96,"=44571020",GO84:GO96),2)</f>
        <v>4166.12</v>
      </c>
      <c r="CD98" s="2">
        <f>ROUND(SUMIF(AA84:AA96,"=44571020",GP84:GP96),2)</f>
        <v>0</v>
      </c>
      <c r="CE98" s="2">
        <f>AC98-BX98</f>
        <v>187.12</v>
      </c>
      <c r="CF98" s="2">
        <f>AC98-BY98</f>
        <v>187.12</v>
      </c>
      <c r="CG98" s="2">
        <f>BX98-BZ98</f>
        <v>0</v>
      </c>
      <c r="CH98" s="2">
        <f>AC98-BX98-BY98+BZ98</f>
        <v>187.12</v>
      </c>
      <c r="CI98" s="2">
        <f>BY98-BZ98</f>
        <v>0</v>
      </c>
      <c r="CJ98" s="2">
        <f>ROUND(SUMIF(AA84:AA96,"=44571020",GX84:GX96),2)</f>
        <v>0</v>
      </c>
      <c r="CK98" s="2">
        <f>ROUND(SUMIF(AA84:AA96,"=44571020",GY84:GY96),2)</f>
        <v>0</v>
      </c>
      <c r="CL98" s="2">
        <f>ROUND(SUMIF(AA84:AA96,"=44571020",GZ84:GZ96),2)</f>
        <v>0</v>
      </c>
      <c r="CM98" s="2">
        <f>ROUND(SUMIF(AA84:AA96,"=44571020",HD84:HD96),2)</f>
        <v>0</v>
      </c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>
        <v>0</v>
      </c>
    </row>
    <row r="100" spans="1:28" ht="12.75">
      <c r="A100" s="4">
        <v>50</v>
      </c>
      <c r="B100" s="4">
        <v>0</v>
      </c>
      <c r="C100" s="4">
        <v>0</v>
      </c>
      <c r="D100" s="4">
        <v>1</v>
      </c>
      <c r="E100" s="4">
        <v>0</v>
      </c>
      <c r="F100" s="4">
        <f>ROUND(Source!O98,O100)</f>
        <v>2957.6</v>
      </c>
      <c r="G100" s="4" t="s">
        <v>95</v>
      </c>
      <c r="H100" s="4" t="s">
        <v>96</v>
      </c>
      <c r="I100" s="4"/>
      <c r="J100" s="4"/>
      <c r="K100" s="4">
        <v>201</v>
      </c>
      <c r="L100" s="4">
        <v>1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>
        <v>2957.6000000000004</v>
      </c>
      <c r="X100" s="4">
        <v>1</v>
      </c>
      <c r="Y100" s="4">
        <v>37564.87</v>
      </c>
      <c r="Z100" s="4"/>
      <c r="AA100" s="4"/>
      <c r="AB100" s="4"/>
    </row>
    <row r="101" spans="1:28" ht="12.75">
      <c r="A101" s="4">
        <v>50</v>
      </c>
      <c r="B101" s="4">
        <v>0</v>
      </c>
      <c r="C101" s="4">
        <v>0</v>
      </c>
      <c r="D101" s="4">
        <v>1</v>
      </c>
      <c r="E101" s="4">
        <v>202</v>
      </c>
      <c r="F101" s="4">
        <f>ROUND(Source!P98,O101)</f>
        <v>187.12</v>
      </c>
      <c r="G101" s="4" t="s">
        <v>97</v>
      </c>
      <c r="H101" s="4" t="s">
        <v>98</v>
      </c>
      <c r="I101" s="4"/>
      <c r="J101" s="4"/>
      <c r="K101" s="4">
        <v>202</v>
      </c>
      <c r="L101" s="4">
        <v>2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>
        <v>187.12</v>
      </c>
      <c r="X101" s="4">
        <v>1</v>
      </c>
      <c r="Y101" s="4">
        <v>0</v>
      </c>
      <c r="Z101" s="4"/>
      <c r="AA101" s="4"/>
      <c r="AB101" s="4"/>
    </row>
    <row r="102" spans="1:28" ht="12.75">
      <c r="A102" s="4">
        <v>50</v>
      </c>
      <c r="B102" s="4">
        <v>0</v>
      </c>
      <c r="C102" s="4">
        <v>0</v>
      </c>
      <c r="D102" s="4">
        <v>1</v>
      </c>
      <c r="E102" s="4">
        <v>222</v>
      </c>
      <c r="F102" s="4">
        <f>ROUND(Source!AO98,O102)</f>
        <v>0</v>
      </c>
      <c r="G102" s="4" t="s">
        <v>99</v>
      </c>
      <c r="H102" s="4" t="s">
        <v>100</v>
      </c>
      <c r="I102" s="4"/>
      <c r="J102" s="4"/>
      <c r="K102" s="4">
        <v>222</v>
      </c>
      <c r="L102" s="4">
        <v>3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>
        <v>0</v>
      </c>
      <c r="X102" s="4">
        <v>1</v>
      </c>
      <c r="Y102" s="4">
        <v>0</v>
      </c>
      <c r="Z102" s="4"/>
      <c r="AA102" s="4"/>
      <c r="AB102" s="4"/>
    </row>
    <row r="103" spans="1:28" ht="12.75">
      <c r="A103" s="4">
        <v>50</v>
      </c>
      <c r="B103" s="4">
        <v>0</v>
      </c>
      <c r="C103" s="4">
        <v>0</v>
      </c>
      <c r="D103" s="4">
        <v>1</v>
      </c>
      <c r="E103" s="4">
        <v>225</v>
      </c>
      <c r="F103" s="4">
        <f>ROUND(Source!AV98,O103)</f>
        <v>187.12</v>
      </c>
      <c r="G103" s="4" t="s">
        <v>101</v>
      </c>
      <c r="H103" s="4" t="s">
        <v>102</v>
      </c>
      <c r="I103" s="4"/>
      <c r="J103" s="4"/>
      <c r="K103" s="4">
        <v>225</v>
      </c>
      <c r="L103" s="4">
        <v>4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>
        <v>187.12</v>
      </c>
      <c r="X103" s="4">
        <v>1</v>
      </c>
      <c r="Y103" s="4">
        <v>0</v>
      </c>
      <c r="Z103" s="4"/>
      <c r="AA103" s="4"/>
      <c r="AB103" s="4"/>
    </row>
    <row r="104" spans="1:28" ht="12.75">
      <c r="A104" s="4">
        <v>50</v>
      </c>
      <c r="B104" s="4">
        <v>0</v>
      </c>
      <c r="C104" s="4">
        <v>0</v>
      </c>
      <c r="D104" s="4">
        <v>1</v>
      </c>
      <c r="E104" s="4">
        <v>226</v>
      </c>
      <c r="F104" s="4">
        <f>ROUND(Source!AW98,O104)</f>
        <v>187.12</v>
      </c>
      <c r="G104" s="4" t="s">
        <v>103</v>
      </c>
      <c r="H104" s="4" t="s">
        <v>104</v>
      </c>
      <c r="I104" s="4"/>
      <c r="J104" s="4"/>
      <c r="K104" s="4">
        <v>226</v>
      </c>
      <c r="L104" s="4">
        <v>5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>
        <v>187.12</v>
      </c>
      <c r="X104" s="4">
        <v>1</v>
      </c>
      <c r="Y104" s="4">
        <v>963.67</v>
      </c>
      <c r="Z104" s="4"/>
      <c r="AA104" s="4"/>
      <c r="AB104" s="4"/>
    </row>
    <row r="105" spans="1:28" ht="12.75">
      <c r="A105" s="4">
        <v>50</v>
      </c>
      <c r="B105" s="4">
        <v>0</v>
      </c>
      <c r="C105" s="4">
        <v>0</v>
      </c>
      <c r="D105" s="4">
        <v>1</v>
      </c>
      <c r="E105" s="4">
        <v>227</v>
      </c>
      <c r="F105" s="4">
        <f>ROUND(Source!AX98,O105)</f>
        <v>0</v>
      </c>
      <c r="G105" s="4" t="s">
        <v>105</v>
      </c>
      <c r="H105" s="4" t="s">
        <v>106</v>
      </c>
      <c r="I105" s="4"/>
      <c r="J105" s="4"/>
      <c r="K105" s="4">
        <v>227</v>
      </c>
      <c r="L105" s="4">
        <v>6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>
        <v>0</v>
      </c>
      <c r="X105" s="4">
        <v>1</v>
      </c>
      <c r="Y105" s="4">
        <v>0</v>
      </c>
      <c r="Z105" s="4"/>
      <c r="AA105" s="4"/>
      <c r="AB105" s="4"/>
    </row>
    <row r="106" spans="1:28" ht="12.75">
      <c r="A106" s="4">
        <v>50</v>
      </c>
      <c r="B106" s="4">
        <v>0</v>
      </c>
      <c r="C106" s="4">
        <v>0</v>
      </c>
      <c r="D106" s="4">
        <v>1</v>
      </c>
      <c r="E106" s="4">
        <v>228</v>
      </c>
      <c r="F106" s="4">
        <f>ROUND(Source!AY98,O106)</f>
        <v>187.12</v>
      </c>
      <c r="G106" s="4" t="s">
        <v>107</v>
      </c>
      <c r="H106" s="4" t="s">
        <v>108</v>
      </c>
      <c r="I106" s="4"/>
      <c r="J106" s="4"/>
      <c r="K106" s="4">
        <v>228</v>
      </c>
      <c r="L106" s="4">
        <v>7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>
        <v>187.12</v>
      </c>
      <c r="X106" s="4">
        <v>1</v>
      </c>
      <c r="Y106" s="4">
        <v>963.67</v>
      </c>
      <c r="Z106" s="4"/>
      <c r="AA106" s="4"/>
      <c r="AB106" s="4"/>
    </row>
    <row r="107" spans="1:28" ht="12.75">
      <c r="A107" s="4">
        <v>50</v>
      </c>
      <c r="B107" s="4">
        <v>0</v>
      </c>
      <c r="C107" s="4">
        <v>0</v>
      </c>
      <c r="D107" s="4">
        <v>1</v>
      </c>
      <c r="E107" s="4">
        <v>216</v>
      </c>
      <c r="F107" s="4">
        <f>ROUND(Source!AP98,O107)</f>
        <v>0</v>
      </c>
      <c r="G107" s="4" t="s">
        <v>109</v>
      </c>
      <c r="H107" s="4" t="s">
        <v>110</v>
      </c>
      <c r="I107" s="4"/>
      <c r="J107" s="4"/>
      <c r="K107" s="4">
        <v>216</v>
      </c>
      <c r="L107" s="4">
        <v>8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>
        <v>0</v>
      </c>
      <c r="X107" s="4">
        <v>1</v>
      </c>
      <c r="Y107" s="4">
        <v>0</v>
      </c>
      <c r="Z107" s="4"/>
      <c r="AA107" s="4"/>
      <c r="AB107" s="4"/>
    </row>
    <row r="108" spans="1:28" ht="12.75">
      <c r="A108" s="4">
        <v>50</v>
      </c>
      <c r="B108" s="4">
        <v>0</v>
      </c>
      <c r="C108" s="4">
        <v>0</v>
      </c>
      <c r="D108" s="4">
        <v>1</v>
      </c>
      <c r="E108" s="4">
        <v>223</v>
      </c>
      <c r="F108" s="4">
        <f>ROUND(Source!AQ98,O108)</f>
        <v>0</v>
      </c>
      <c r="G108" s="4" t="s">
        <v>111</v>
      </c>
      <c r="H108" s="4" t="s">
        <v>112</v>
      </c>
      <c r="I108" s="4"/>
      <c r="J108" s="4"/>
      <c r="K108" s="4">
        <v>223</v>
      </c>
      <c r="L108" s="4">
        <v>9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>
        <v>0</v>
      </c>
      <c r="X108" s="4">
        <v>1</v>
      </c>
      <c r="Y108" s="4">
        <v>0</v>
      </c>
      <c r="Z108" s="4"/>
      <c r="AA108" s="4"/>
      <c r="AB108" s="4"/>
    </row>
    <row r="109" spans="1:28" ht="12.75">
      <c r="A109" s="4">
        <v>50</v>
      </c>
      <c r="B109" s="4">
        <v>0</v>
      </c>
      <c r="C109" s="4">
        <v>0</v>
      </c>
      <c r="D109" s="4">
        <v>1</v>
      </c>
      <c r="E109" s="4">
        <v>229</v>
      </c>
      <c r="F109" s="4">
        <f>ROUND(Source!AZ98,O109)</f>
        <v>0</v>
      </c>
      <c r="G109" s="4" t="s">
        <v>113</v>
      </c>
      <c r="H109" s="4" t="s">
        <v>114</v>
      </c>
      <c r="I109" s="4"/>
      <c r="J109" s="4"/>
      <c r="K109" s="4">
        <v>229</v>
      </c>
      <c r="L109" s="4">
        <v>10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>
        <v>0</v>
      </c>
      <c r="X109" s="4">
        <v>1</v>
      </c>
      <c r="Y109" s="4">
        <v>0</v>
      </c>
      <c r="Z109" s="4"/>
      <c r="AA109" s="4"/>
      <c r="AB109" s="4"/>
    </row>
    <row r="110" spans="1:28" ht="12.75">
      <c r="A110" s="4">
        <v>50</v>
      </c>
      <c r="B110" s="4">
        <v>0</v>
      </c>
      <c r="C110" s="4">
        <v>0</v>
      </c>
      <c r="D110" s="4">
        <v>1</v>
      </c>
      <c r="E110" s="4">
        <v>203</v>
      </c>
      <c r="F110" s="4">
        <f>ROUND(Source!Q98,O110)</f>
        <v>2053.22</v>
      </c>
      <c r="G110" s="4" t="s">
        <v>115</v>
      </c>
      <c r="H110" s="4" t="s">
        <v>116</v>
      </c>
      <c r="I110" s="4"/>
      <c r="J110" s="4"/>
      <c r="K110" s="4">
        <v>203</v>
      </c>
      <c r="L110" s="4">
        <v>11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>
        <v>2053.2200000000003</v>
      </c>
      <c r="X110" s="4">
        <v>1</v>
      </c>
      <c r="Y110" s="4">
        <v>15850.86</v>
      </c>
      <c r="Z110" s="4"/>
      <c r="AA110" s="4"/>
      <c r="AB110" s="4"/>
    </row>
    <row r="111" spans="1:28" ht="12.75">
      <c r="A111" s="4">
        <v>50</v>
      </c>
      <c r="B111" s="4">
        <v>0</v>
      </c>
      <c r="C111" s="4">
        <v>0</v>
      </c>
      <c r="D111" s="4">
        <v>1</v>
      </c>
      <c r="E111" s="4">
        <v>231</v>
      </c>
      <c r="F111" s="4">
        <f>ROUND(Source!BB98,O111)</f>
        <v>0</v>
      </c>
      <c r="G111" s="4" t="s">
        <v>117</v>
      </c>
      <c r="H111" s="4" t="s">
        <v>118</v>
      </c>
      <c r="I111" s="4"/>
      <c r="J111" s="4"/>
      <c r="K111" s="4">
        <v>231</v>
      </c>
      <c r="L111" s="4">
        <v>12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>
        <v>0</v>
      </c>
      <c r="X111" s="4">
        <v>1</v>
      </c>
      <c r="Y111" s="4">
        <v>0</v>
      </c>
      <c r="Z111" s="4"/>
      <c r="AA111" s="4"/>
      <c r="AB111" s="4"/>
    </row>
    <row r="112" spans="1:28" ht="12.75">
      <c r="A112" s="4">
        <v>50</v>
      </c>
      <c r="B112" s="4">
        <v>0</v>
      </c>
      <c r="C112" s="4">
        <v>0</v>
      </c>
      <c r="D112" s="4">
        <v>1</v>
      </c>
      <c r="E112" s="4">
        <v>204</v>
      </c>
      <c r="F112" s="4">
        <f>ROUND(Source!R98,O112)</f>
        <v>99.32</v>
      </c>
      <c r="G112" s="4" t="s">
        <v>119</v>
      </c>
      <c r="H112" s="4" t="s">
        <v>120</v>
      </c>
      <c r="I112" s="4"/>
      <c r="J112" s="4"/>
      <c r="K112" s="4">
        <v>204</v>
      </c>
      <c r="L112" s="4">
        <v>13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>
        <v>99.32000000000001</v>
      </c>
      <c r="X112" s="4">
        <v>1</v>
      </c>
      <c r="Y112" s="4">
        <v>2873.34</v>
      </c>
      <c r="Z112" s="4"/>
      <c r="AA112" s="4"/>
      <c r="AB112" s="4"/>
    </row>
    <row r="113" spans="1:28" ht="12.75">
      <c r="A113" s="4">
        <v>50</v>
      </c>
      <c r="B113" s="4">
        <v>0</v>
      </c>
      <c r="C113" s="4">
        <v>0</v>
      </c>
      <c r="D113" s="4">
        <v>1</v>
      </c>
      <c r="E113" s="4">
        <v>205</v>
      </c>
      <c r="F113" s="4">
        <f>ROUND(Source!S98,O113)</f>
        <v>717.26</v>
      </c>
      <c r="G113" s="4" t="s">
        <v>121</v>
      </c>
      <c r="H113" s="4" t="s">
        <v>122</v>
      </c>
      <c r="I113" s="4"/>
      <c r="J113" s="4"/>
      <c r="K113" s="4">
        <v>205</v>
      </c>
      <c r="L113" s="4">
        <v>14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>
        <v>717.26</v>
      </c>
      <c r="X113" s="4">
        <v>1</v>
      </c>
      <c r="Y113" s="4">
        <v>20750.340000000004</v>
      </c>
      <c r="Z113" s="4"/>
      <c r="AA113" s="4"/>
      <c r="AB113" s="4"/>
    </row>
    <row r="114" spans="1:28" ht="12.75">
      <c r="A114" s="4">
        <v>50</v>
      </c>
      <c r="B114" s="4">
        <v>0</v>
      </c>
      <c r="C114" s="4">
        <v>0</v>
      </c>
      <c r="D114" s="4">
        <v>1</v>
      </c>
      <c r="E114" s="4">
        <v>232</v>
      </c>
      <c r="F114" s="4">
        <f>ROUND(Source!BC98,O114)</f>
        <v>0</v>
      </c>
      <c r="G114" s="4" t="s">
        <v>123</v>
      </c>
      <c r="H114" s="4" t="s">
        <v>124</v>
      </c>
      <c r="I114" s="4"/>
      <c r="J114" s="4"/>
      <c r="K114" s="4">
        <v>232</v>
      </c>
      <c r="L114" s="4">
        <v>15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>
        <v>0</v>
      </c>
      <c r="X114" s="4">
        <v>1</v>
      </c>
      <c r="Y114" s="4">
        <v>0</v>
      </c>
      <c r="Z114" s="4"/>
      <c r="AA114" s="4"/>
      <c r="AB114" s="4"/>
    </row>
    <row r="115" spans="1:28" ht="12.75">
      <c r="A115" s="4">
        <v>50</v>
      </c>
      <c r="B115" s="4">
        <v>0</v>
      </c>
      <c r="C115" s="4">
        <v>0</v>
      </c>
      <c r="D115" s="4">
        <v>1</v>
      </c>
      <c r="E115" s="4">
        <v>214</v>
      </c>
      <c r="F115" s="4">
        <f>ROUND(Source!AS98,O115)</f>
        <v>0</v>
      </c>
      <c r="G115" s="4" t="s">
        <v>125</v>
      </c>
      <c r="H115" s="4" t="s">
        <v>126</v>
      </c>
      <c r="I115" s="4"/>
      <c r="J115" s="4"/>
      <c r="K115" s="4">
        <v>214</v>
      </c>
      <c r="L115" s="4">
        <v>16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>
        <v>0</v>
      </c>
      <c r="X115" s="4">
        <v>1</v>
      </c>
      <c r="Y115" s="4">
        <v>0</v>
      </c>
      <c r="Z115" s="4"/>
      <c r="AA115" s="4"/>
      <c r="AB115" s="4"/>
    </row>
    <row r="116" spans="1:28" ht="12.75">
      <c r="A116" s="4">
        <v>50</v>
      </c>
      <c r="B116" s="4">
        <v>0</v>
      </c>
      <c r="C116" s="4">
        <v>0</v>
      </c>
      <c r="D116" s="4">
        <v>1</v>
      </c>
      <c r="E116" s="4">
        <v>215</v>
      </c>
      <c r="F116" s="4">
        <f>ROUND(Source!AT98,O116)</f>
        <v>4166.12</v>
      </c>
      <c r="G116" s="4" t="s">
        <v>127</v>
      </c>
      <c r="H116" s="4" t="s">
        <v>128</v>
      </c>
      <c r="I116" s="4"/>
      <c r="J116" s="4"/>
      <c r="K116" s="4">
        <v>215</v>
      </c>
      <c r="L116" s="4">
        <v>17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>
        <v>4166.12</v>
      </c>
      <c r="X116" s="4">
        <v>1</v>
      </c>
      <c r="Y116" s="4">
        <v>72527.92</v>
      </c>
      <c r="Z116" s="4"/>
      <c r="AA116" s="4"/>
      <c r="AB116" s="4"/>
    </row>
    <row r="117" spans="1:28" ht="12.75">
      <c r="A117" s="4">
        <v>50</v>
      </c>
      <c r="B117" s="4">
        <v>0</v>
      </c>
      <c r="C117" s="4">
        <v>0</v>
      </c>
      <c r="D117" s="4">
        <v>1</v>
      </c>
      <c r="E117" s="4">
        <v>217</v>
      </c>
      <c r="F117" s="4">
        <f>ROUND(Source!AU98,O117)</f>
        <v>0</v>
      </c>
      <c r="G117" s="4" t="s">
        <v>129</v>
      </c>
      <c r="H117" s="4" t="s">
        <v>130</v>
      </c>
      <c r="I117" s="4"/>
      <c r="J117" s="4"/>
      <c r="K117" s="4">
        <v>217</v>
      </c>
      <c r="L117" s="4">
        <v>18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>
        <v>0</v>
      </c>
      <c r="X117" s="4">
        <v>1</v>
      </c>
      <c r="Y117" s="4">
        <v>0</v>
      </c>
      <c r="Z117" s="4"/>
      <c r="AA117" s="4"/>
      <c r="AB117" s="4"/>
    </row>
    <row r="118" spans="1:28" ht="12.75">
      <c r="A118" s="4">
        <v>50</v>
      </c>
      <c r="B118" s="4">
        <v>0</v>
      </c>
      <c r="C118" s="4">
        <v>0</v>
      </c>
      <c r="D118" s="4">
        <v>1</v>
      </c>
      <c r="E118" s="4">
        <v>230</v>
      </c>
      <c r="F118" s="4">
        <f>ROUND(Source!BA98,O118)</f>
        <v>0</v>
      </c>
      <c r="G118" s="4" t="s">
        <v>131</v>
      </c>
      <c r="H118" s="4" t="s">
        <v>132</v>
      </c>
      <c r="I118" s="4"/>
      <c r="J118" s="4"/>
      <c r="K118" s="4">
        <v>230</v>
      </c>
      <c r="L118" s="4">
        <v>19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>
        <v>0</v>
      </c>
      <c r="X118" s="4">
        <v>1</v>
      </c>
      <c r="Y118" s="4">
        <v>0</v>
      </c>
      <c r="Z118" s="4"/>
      <c r="AA118" s="4"/>
      <c r="AB118" s="4"/>
    </row>
    <row r="119" spans="1:28" ht="12.75">
      <c r="A119" s="4">
        <v>50</v>
      </c>
      <c r="B119" s="4">
        <v>0</v>
      </c>
      <c r="C119" s="4">
        <v>0</v>
      </c>
      <c r="D119" s="4">
        <v>1</v>
      </c>
      <c r="E119" s="4">
        <v>206</v>
      </c>
      <c r="F119" s="4">
        <f>ROUND(Source!T98,O119)</f>
        <v>0</v>
      </c>
      <c r="G119" s="4" t="s">
        <v>133</v>
      </c>
      <c r="H119" s="4" t="s">
        <v>134</v>
      </c>
      <c r="I119" s="4"/>
      <c r="J119" s="4"/>
      <c r="K119" s="4">
        <v>206</v>
      </c>
      <c r="L119" s="4">
        <v>20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>
        <v>0</v>
      </c>
      <c r="X119" s="4">
        <v>1</v>
      </c>
      <c r="Y119" s="4">
        <v>0</v>
      </c>
      <c r="Z119" s="4"/>
      <c r="AA119" s="4"/>
      <c r="AB119" s="4"/>
    </row>
    <row r="120" spans="1:28" ht="12.75">
      <c r="A120" s="4">
        <v>50</v>
      </c>
      <c r="B120" s="4">
        <v>0</v>
      </c>
      <c r="C120" s="4">
        <v>0</v>
      </c>
      <c r="D120" s="4">
        <v>1</v>
      </c>
      <c r="E120" s="4">
        <v>207</v>
      </c>
      <c r="F120" s="4">
        <f>Source!U98</f>
        <v>76.10828099999999</v>
      </c>
      <c r="G120" s="4" t="s">
        <v>135</v>
      </c>
      <c r="H120" s="4" t="s">
        <v>136</v>
      </c>
      <c r="I120" s="4"/>
      <c r="J120" s="4"/>
      <c r="K120" s="4">
        <v>207</v>
      </c>
      <c r="L120" s="4">
        <v>21</v>
      </c>
      <c r="M120" s="4">
        <v>3</v>
      </c>
      <c r="N120" s="4" t="s">
        <v>3</v>
      </c>
      <c r="O120" s="4">
        <v>-1</v>
      </c>
      <c r="P120" s="4"/>
      <c r="Q120" s="4"/>
      <c r="R120" s="4"/>
      <c r="S120" s="4"/>
      <c r="T120" s="4"/>
      <c r="U120" s="4"/>
      <c r="V120" s="4"/>
      <c r="W120" s="4">
        <v>76.108281</v>
      </c>
      <c r="X120" s="4">
        <v>1</v>
      </c>
      <c r="Y120" s="4">
        <v>76.108281</v>
      </c>
      <c r="Z120" s="4"/>
      <c r="AA120" s="4"/>
      <c r="AB120" s="4"/>
    </row>
    <row r="121" spans="1:28" ht="12.75">
      <c r="A121" s="4">
        <v>50</v>
      </c>
      <c r="B121" s="4">
        <v>0</v>
      </c>
      <c r="C121" s="4">
        <v>0</v>
      </c>
      <c r="D121" s="4">
        <v>1</v>
      </c>
      <c r="E121" s="4">
        <v>208</v>
      </c>
      <c r="F121" s="4">
        <f>Source!V98</f>
        <v>8.480430000000002</v>
      </c>
      <c r="G121" s="4" t="s">
        <v>137</v>
      </c>
      <c r="H121" s="4" t="s">
        <v>138</v>
      </c>
      <c r="I121" s="4"/>
      <c r="J121" s="4"/>
      <c r="K121" s="4">
        <v>208</v>
      </c>
      <c r="L121" s="4">
        <v>22</v>
      </c>
      <c r="M121" s="4">
        <v>3</v>
      </c>
      <c r="N121" s="4" t="s">
        <v>3</v>
      </c>
      <c r="O121" s="4">
        <v>-1</v>
      </c>
      <c r="P121" s="4"/>
      <c r="Q121" s="4"/>
      <c r="R121" s="4"/>
      <c r="S121" s="4"/>
      <c r="T121" s="4"/>
      <c r="U121" s="4"/>
      <c r="V121" s="4"/>
      <c r="W121" s="4">
        <v>8.48043</v>
      </c>
      <c r="X121" s="4">
        <v>1</v>
      </c>
      <c r="Y121" s="4">
        <v>8.48043</v>
      </c>
      <c r="Z121" s="4"/>
      <c r="AA121" s="4"/>
      <c r="AB121" s="4"/>
    </row>
    <row r="122" spans="1:28" ht="12.75">
      <c r="A122" s="4">
        <v>50</v>
      </c>
      <c r="B122" s="4">
        <v>0</v>
      </c>
      <c r="C122" s="4">
        <v>0</v>
      </c>
      <c r="D122" s="4">
        <v>1</v>
      </c>
      <c r="E122" s="4">
        <v>209</v>
      </c>
      <c r="F122" s="4">
        <f>ROUND(Source!W98,O122)</f>
        <v>0</v>
      </c>
      <c r="G122" s="4" t="s">
        <v>139</v>
      </c>
      <c r="H122" s="4" t="s">
        <v>140</v>
      </c>
      <c r="I122" s="4"/>
      <c r="J122" s="4"/>
      <c r="K122" s="4">
        <v>209</v>
      </c>
      <c r="L122" s="4">
        <v>23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>
        <v>0</v>
      </c>
      <c r="X122" s="4">
        <v>1</v>
      </c>
      <c r="Y122" s="4">
        <v>0</v>
      </c>
      <c r="Z122" s="4"/>
      <c r="AA122" s="4"/>
      <c r="AB122" s="4"/>
    </row>
    <row r="123" spans="1:28" ht="12.75">
      <c r="A123" s="4">
        <v>50</v>
      </c>
      <c r="B123" s="4">
        <v>0</v>
      </c>
      <c r="C123" s="4">
        <v>0</v>
      </c>
      <c r="D123" s="4">
        <v>1</v>
      </c>
      <c r="E123" s="4">
        <v>233</v>
      </c>
      <c r="F123" s="4">
        <f>ROUND(Source!BD98,O123)</f>
        <v>0</v>
      </c>
      <c r="G123" s="4" t="s">
        <v>141</v>
      </c>
      <c r="H123" s="4" t="s">
        <v>142</v>
      </c>
      <c r="I123" s="4"/>
      <c r="J123" s="4"/>
      <c r="K123" s="4">
        <v>233</v>
      </c>
      <c r="L123" s="4">
        <v>24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>
        <v>0</v>
      </c>
      <c r="X123" s="4">
        <v>1</v>
      </c>
      <c r="Y123" s="4">
        <v>0</v>
      </c>
      <c r="Z123" s="4"/>
      <c r="AA123" s="4"/>
      <c r="AB123" s="4"/>
    </row>
    <row r="124" spans="1:28" ht="12.75">
      <c r="A124" s="4">
        <v>50</v>
      </c>
      <c r="B124" s="4">
        <v>0</v>
      </c>
      <c r="C124" s="4">
        <v>0</v>
      </c>
      <c r="D124" s="4">
        <v>1</v>
      </c>
      <c r="E124" s="4">
        <v>0</v>
      </c>
      <c r="F124" s="4">
        <f>ROUND(Source!X98,O124)</f>
        <v>792.08</v>
      </c>
      <c r="G124" s="4" t="s">
        <v>143</v>
      </c>
      <c r="H124" s="4" t="s">
        <v>144</v>
      </c>
      <c r="I124" s="4"/>
      <c r="J124" s="4"/>
      <c r="K124" s="4">
        <v>210</v>
      </c>
      <c r="L124" s="4">
        <v>25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>
        <v>792.08</v>
      </c>
      <c r="X124" s="4">
        <v>1</v>
      </c>
      <c r="Y124" s="4">
        <v>22914.98</v>
      </c>
      <c r="Z124" s="4"/>
      <c r="AA124" s="4"/>
      <c r="AB124" s="4"/>
    </row>
    <row r="125" spans="1:28" ht="12.75">
      <c r="A125" s="4">
        <v>50</v>
      </c>
      <c r="B125" s="4">
        <v>0</v>
      </c>
      <c r="C125" s="4">
        <v>0</v>
      </c>
      <c r="D125" s="4">
        <v>1</v>
      </c>
      <c r="E125" s="4">
        <v>0</v>
      </c>
      <c r="F125" s="4">
        <f>ROUND(Source!Y98,O125)</f>
        <v>416.44</v>
      </c>
      <c r="G125" s="4" t="s">
        <v>145</v>
      </c>
      <c r="H125" s="4" t="s">
        <v>146</v>
      </c>
      <c r="I125" s="4"/>
      <c r="J125" s="4"/>
      <c r="K125" s="4">
        <v>211</v>
      </c>
      <c r="L125" s="4">
        <v>26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>
        <v>416.44</v>
      </c>
      <c r="X125" s="4">
        <v>1</v>
      </c>
      <c r="Y125" s="4">
        <v>12048.07</v>
      </c>
      <c r="Z125" s="4"/>
      <c r="AA125" s="4"/>
      <c r="AB125" s="4"/>
    </row>
    <row r="126" spans="1:28" ht="12.75">
      <c r="A126" s="4">
        <v>50</v>
      </c>
      <c r="B126" s="4">
        <v>0</v>
      </c>
      <c r="C126" s="4">
        <v>0</v>
      </c>
      <c r="D126" s="4">
        <v>1</v>
      </c>
      <c r="E126" s="4">
        <v>224</v>
      </c>
      <c r="F126" s="4">
        <f>ROUND(Source!AR98,O126)</f>
        <v>4166.12</v>
      </c>
      <c r="G126" s="4" t="s">
        <v>147</v>
      </c>
      <c r="H126" s="4" t="s">
        <v>148</v>
      </c>
      <c r="I126" s="4"/>
      <c r="J126" s="4"/>
      <c r="K126" s="4">
        <v>224</v>
      </c>
      <c r="L126" s="4">
        <v>27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>
        <v>4166.12</v>
      </c>
      <c r="X126" s="4">
        <v>1</v>
      </c>
      <c r="Y126" s="4">
        <v>72527.92000000001</v>
      </c>
      <c r="Z126" s="4"/>
      <c r="AA126" s="4"/>
      <c r="AB126" s="4"/>
    </row>
    <row r="127" spans="1:28" ht="12.75">
      <c r="A127" s="4">
        <v>50</v>
      </c>
      <c r="B127" s="4">
        <v>1</v>
      </c>
      <c r="C127" s="4">
        <v>0</v>
      </c>
      <c r="D127" s="4">
        <v>2</v>
      </c>
      <c r="E127" s="4">
        <v>201</v>
      </c>
      <c r="F127" s="4">
        <f>ROUND(ROUND(F100,0),O127)</f>
        <v>2958</v>
      </c>
      <c r="G127" s="4" t="s">
        <v>149</v>
      </c>
      <c r="H127" s="4" t="s">
        <v>150</v>
      </c>
      <c r="I127" s="4"/>
      <c r="J127" s="4"/>
      <c r="K127" s="4">
        <v>212</v>
      </c>
      <c r="L127" s="4">
        <v>28</v>
      </c>
      <c r="M127" s="4">
        <v>0</v>
      </c>
      <c r="N127" s="4" t="s">
        <v>3</v>
      </c>
      <c r="O127" s="4">
        <v>0</v>
      </c>
      <c r="P127" s="4"/>
      <c r="Q127" s="4"/>
      <c r="R127" s="4"/>
      <c r="S127" s="4"/>
      <c r="T127" s="4"/>
      <c r="U127" s="4"/>
      <c r="V127" s="4"/>
      <c r="W127" s="4">
        <v>2958</v>
      </c>
      <c r="X127" s="4">
        <v>1</v>
      </c>
      <c r="Y127" s="4">
        <v>37565</v>
      </c>
      <c r="Z127" s="4"/>
      <c r="AA127" s="4"/>
      <c r="AB127" s="4"/>
    </row>
    <row r="128" spans="1:28" ht="12.75">
      <c r="A128" s="4">
        <v>50</v>
      </c>
      <c r="B128" s="4">
        <v>1</v>
      </c>
      <c r="C128" s="4">
        <v>0</v>
      </c>
      <c r="D128" s="4">
        <v>2</v>
      </c>
      <c r="E128" s="4">
        <v>210</v>
      </c>
      <c r="F128" s="4">
        <f>ROUND(ROUND(F124,0),O128)</f>
        <v>792</v>
      </c>
      <c r="G128" s="4" t="s">
        <v>151</v>
      </c>
      <c r="H128" s="4" t="s">
        <v>144</v>
      </c>
      <c r="I128" s="4"/>
      <c r="J128" s="4"/>
      <c r="K128" s="4">
        <v>212</v>
      </c>
      <c r="L128" s="4">
        <v>29</v>
      </c>
      <c r="M128" s="4">
        <v>0</v>
      </c>
      <c r="N128" s="4" t="s">
        <v>3</v>
      </c>
      <c r="O128" s="4">
        <v>0</v>
      </c>
      <c r="P128" s="4"/>
      <c r="Q128" s="4"/>
      <c r="R128" s="4"/>
      <c r="S128" s="4"/>
      <c r="T128" s="4"/>
      <c r="U128" s="4"/>
      <c r="V128" s="4"/>
      <c r="W128" s="4">
        <v>792</v>
      </c>
      <c r="X128" s="4">
        <v>1</v>
      </c>
      <c r="Y128" s="4">
        <v>22915</v>
      </c>
      <c r="Z128" s="4"/>
      <c r="AA128" s="4"/>
      <c r="AB128" s="4"/>
    </row>
    <row r="129" spans="1:28" ht="12.75">
      <c r="A129" s="4">
        <v>50</v>
      </c>
      <c r="B129" s="4">
        <v>1</v>
      </c>
      <c r="C129" s="4">
        <v>0</v>
      </c>
      <c r="D129" s="4">
        <v>2</v>
      </c>
      <c r="E129" s="4">
        <v>211</v>
      </c>
      <c r="F129" s="4">
        <f>ROUND(ROUND(F125,0),O129)</f>
        <v>416</v>
      </c>
      <c r="G129" s="4" t="s">
        <v>152</v>
      </c>
      <c r="H129" s="4" t="s">
        <v>146</v>
      </c>
      <c r="I129" s="4"/>
      <c r="J129" s="4"/>
      <c r="K129" s="4">
        <v>212</v>
      </c>
      <c r="L129" s="4">
        <v>30</v>
      </c>
      <c r="M129" s="4">
        <v>0</v>
      </c>
      <c r="N129" s="4" t="s">
        <v>3</v>
      </c>
      <c r="O129" s="4">
        <v>0</v>
      </c>
      <c r="P129" s="4"/>
      <c r="Q129" s="4"/>
      <c r="R129" s="4"/>
      <c r="S129" s="4"/>
      <c r="T129" s="4"/>
      <c r="U129" s="4"/>
      <c r="V129" s="4"/>
      <c r="W129" s="4">
        <v>416</v>
      </c>
      <c r="X129" s="4">
        <v>1</v>
      </c>
      <c r="Y129" s="4">
        <v>12048</v>
      </c>
      <c r="Z129" s="4"/>
      <c r="AA129" s="4"/>
      <c r="AB129" s="4"/>
    </row>
    <row r="130" spans="1:28" ht="12.75">
      <c r="A130" s="4">
        <v>50</v>
      </c>
      <c r="B130" s="4">
        <v>1</v>
      </c>
      <c r="C130" s="4">
        <v>0</v>
      </c>
      <c r="D130" s="4">
        <v>2</v>
      </c>
      <c r="E130" s="4">
        <v>213</v>
      </c>
      <c r="F130" s="4">
        <f>ROUND(F127+F128+F129,O130)</f>
        <v>4166</v>
      </c>
      <c r="G130" s="4" t="s">
        <v>153</v>
      </c>
      <c r="H130" s="4" t="s">
        <v>154</v>
      </c>
      <c r="I130" s="4"/>
      <c r="J130" s="4"/>
      <c r="K130" s="4">
        <v>212</v>
      </c>
      <c r="L130" s="4">
        <v>31</v>
      </c>
      <c r="M130" s="4">
        <v>0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>
        <v>4166</v>
      </c>
      <c r="X130" s="4">
        <v>1</v>
      </c>
      <c r="Y130" s="4">
        <v>72528</v>
      </c>
      <c r="Z130" s="4"/>
      <c r="AA130" s="4"/>
      <c r="AB130" s="4"/>
    </row>
    <row r="131" spans="1:28" ht="12.75">
      <c r="A131" s="4">
        <v>50</v>
      </c>
      <c r="B131" s="4">
        <v>0</v>
      </c>
      <c r="C131" s="4">
        <v>0</v>
      </c>
      <c r="D131" s="4">
        <v>2</v>
      </c>
      <c r="E131" s="4">
        <v>0</v>
      </c>
      <c r="F131" s="4">
        <v>0</v>
      </c>
      <c r="G131" s="4" t="s">
        <v>155</v>
      </c>
      <c r="H131" s="4" t="s">
        <v>156</v>
      </c>
      <c r="I131" s="4"/>
      <c r="J131" s="4"/>
      <c r="K131" s="4">
        <v>212</v>
      </c>
      <c r="L131" s="4">
        <v>32</v>
      </c>
      <c r="M131" s="4">
        <v>1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>
        <v>0</v>
      </c>
      <c r="X131" s="4">
        <v>1</v>
      </c>
      <c r="Y131" s="4">
        <v>0</v>
      </c>
      <c r="Z131" s="4"/>
      <c r="AA131" s="4"/>
      <c r="AB131" s="4"/>
    </row>
    <row r="132" spans="1:28" ht="12.75">
      <c r="A132" s="4">
        <v>50</v>
      </c>
      <c r="B132" s="4">
        <v>1</v>
      </c>
      <c r="C132" s="4">
        <v>0</v>
      </c>
      <c r="D132" s="4">
        <v>2</v>
      </c>
      <c r="E132" s="4">
        <v>0</v>
      </c>
      <c r="F132" s="4">
        <v>4166.12</v>
      </c>
      <c r="G132" s="4" t="s">
        <v>157</v>
      </c>
      <c r="H132" s="4" t="s">
        <v>158</v>
      </c>
      <c r="I132" s="4"/>
      <c r="J132" s="4"/>
      <c r="K132" s="4">
        <v>212</v>
      </c>
      <c r="L132" s="4">
        <v>33</v>
      </c>
      <c r="M132" s="4">
        <v>1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>
        <v>4166.12</v>
      </c>
      <c r="X132" s="4">
        <v>1</v>
      </c>
      <c r="Y132" s="4">
        <v>4166.12</v>
      </c>
      <c r="Z132" s="4"/>
      <c r="AA132" s="4"/>
      <c r="AB132" s="4"/>
    </row>
    <row r="133" spans="1:28" ht="12.75">
      <c r="A133" s="4">
        <v>50</v>
      </c>
      <c r="B133" s="4">
        <v>0</v>
      </c>
      <c r="C133" s="4">
        <v>0</v>
      </c>
      <c r="D133" s="4">
        <v>2</v>
      </c>
      <c r="E133" s="4">
        <v>0</v>
      </c>
      <c r="F133" s="4">
        <v>0</v>
      </c>
      <c r="G133" s="4" t="s">
        <v>159</v>
      </c>
      <c r="H133" s="4" t="s">
        <v>160</v>
      </c>
      <c r="I133" s="4"/>
      <c r="J133" s="4"/>
      <c r="K133" s="4">
        <v>212</v>
      </c>
      <c r="L133" s="4">
        <v>34</v>
      </c>
      <c r="M133" s="4">
        <v>1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>
        <v>0</v>
      </c>
      <c r="X133" s="4">
        <v>1</v>
      </c>
      <c r="Y133" s="4">
        <v>0</v>
      </c>
      <c r="Z133" s="4"/>
      <c r="AA133" s="4"/>
      <c r="AB133" s="4"/>
    </row>
    <row r="134" spans="1:28" ht="12.75">
      <c r="A134" s="4">
        <v>50</v>
      </c>
      <c r="B134" s="4">
        <v>0</v>
      </c>
      <c r="C134" s="4">
        <v>0</v>
      </c>
      <c r="D134" s="4">
        <v>2</v>
      </c>
      <c r="E134" s="4">
        <v>0</v>
      </c>
      <c r="F134" s="4">
        <v>0</v>
      </c>
      <c r="G134" s="4" t="s">
        <v>161</v>
      </c>
      <c r="H134" s="4" t="s">
        <v>162</v>
      </c>
      <c r="I134" s="4"/>
      <c r="J134" s="4"/>
      <c r="K134" s="4">
        <v>212</v>
      </c>
      <c r="L134" s="4">
        <v>35</v>
      </c>
      <c r="M134" s="4">
        <v>1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>
        <v>0</v>
      </c>
      <c r="X134" s="4">
        <v>1</v>
      </c>
      <c r="Y134" s="4">
        <v>0</v>
      </c>
      <c r="Z134" s="4"/>
      <c r="AA134" s="4"/>
      <c r="AB134" s="4"/>
    </row>
    <row r="135" spans="1:28" ht="12.75">
      <c r="A135" s="4">
        <v>50</v>
      </c>
      <c r="B135" s="4">
        <f>IF(Source!F135=0,1,0)</f>
        <v>1</v>
      </c>
      <c r="C135" s="4">
        <v>0</v>
      </c>
      <c r="D135" s="4">
        <v>2</v>
      </c>
      <c r="E135" s="4">
        <v>0</v>
      </c>
      <c r="F135" s="4">
        <f>ROUND(ROUND((F130-F131-F132-F133-F134),0),O135)</f>
        <v>0</v>
      </c>
      <c r="G135" s="4" t="s">
        <v>163</v>
      </c>
      <c r="H135" s="4" t="s">
        <v>164</v>
      </c>
      <c r="I135" s="4"/>
      <c r="J135" s="4"/>
      <c r="K135" s="4">
        <v>212</v>
      </c>
      <c r="L135" s="4">
        <v>36</v>
      </c>
      <c r="M135" s="4">
        <v>2</v>
      </c>
      <c r="N135" s="4" t="s">
        <v>3</v>
      </c>
      <c r="O135" s="4">
        <v>0</v>
      </c>
      <c r="P135" s="4"/>
      <c r="Q135" s="4"/>
      <c r="R135" s="4"/>
      <c r="S135" s="4"/>
      <c r="T135" s="4"/>
      <c r="U135" s="4"/>
      <c r="V135" s="4"/>
      <c r="W135" s="4">
        <v>0</v>
      </c>
      <c r="X135" s="4">
        <v>1</v>
      </c>
      <c r="Y135" s="4">
        <v>68362</v>
      </c>
      <c r="Z135" s="4"/>
      <c r="AA135" s="4"/>
      <c r="AB135" s="4"/>
    </row>
    <row r="137" spans="1:88" ht="12.75">
      <c r="A137" s="1">
        <v>4</v>
      </c>
      <c r="B137" s="1">
        <v>1</v>
      </c>
      <c r="C137" s="1"/>
      <c r="D137" s="1">
        <f>ROW(A145)</f>
        <v>145</v>
      </c>
      <c r="E137" s="1"/>
      <c r="F137" s="1" t="s">
        <v>15</v>
      </c>
      <c r="G137" s="1" t="s">
        <v>231</v>
      </c>
      <c r="H137" s="1" t="s">
        <v>3</v>
      </c>
      <c r="I137" s="1">
        <v>0</v>
      </c>
      <c r="J137" s="1"/>
      <c r="K137" s="1">
        <v>-1</v>
      </c>
      <c r="L137" s="1"/>
      <c r="M137" s="1" t="s">
        <v>3</v>
      </c>
      <c r="N137" s="1"/>
      <c r="O137" s="1"/>
      <c r="P137" s="1"/>
      <c r="Q137" s="1"/>
      <c r="R137" s="1"/>
      <c r="S137" s="1">
        <v>44571021</v>
      </c>
      <c r="T137" s="1"/>
      <c r="U137" s="1" t="s">
        <v>3</v>
      </c>
      <c r="V137" s="1">
        <v>0</v>
      </c>
      <c r="W137" s="1"/>
      <c r="X137" s="1"/>
      <c r="Y137" s="1"/>
      <c r="Z137" s="1"/>
      <c r="AA137" s="1"/>
      <c r="AB137" s="1" t="s">
        <v>3</v>
      </c>
      <c r="AC137" s="1" t="s">
        <v>3</v>
      </c>
      <c r="AD137" s="1" t="s">
        <v>3</v>
      </c>
      <c r="AE137" s="1" t="s">
        <v>3</v>
      </c>
      <c r="AF137" s="1" t="s">
        <v>3</v>
      </c>
      <c r="AG137" s="1" t="s">
        <v>3</v>
      </c>
      <c r="AH137" s="1"/>
      <c r="AI137" s="1"/>
      <c r="AJ137" s="1"/>
      <c r="AK137" s="1"/>
      <c r="AL137" s="1"/>
      <c r="AM137" s="1"/>
      <c r="AN137" s="1"/>
      <c r="AO137" s="1"/>
      <c r="AP137" s="1" t="s">
        <v>3</v>
      </c>
      <c r="AQ137" s="1" t="s">
        <v>3</v>
      </c>
      <c r="AR137" s="1" t="s">
        <v>3</v>
      </c>
      <c r="AS137" s="1"/>
      <c r="AT137" s="1"/>
      <c r="AU137" s="1"/>
      <c r="AV137" s="1"/>
      <c r="AW137" s="1"/>
      <c r="AX137" s="1"/>
      <c r="AY137" s="1"/>
      <c r="AZ137" s="1" t="s">
        <v>3</v>
      </c>
      <c r="BA137" s="1"/>
      <c r="BB137" s="1" t="s">
        <v>3</v>
      </c>
      <c r="BC137" s="1" t="s">
        <v>3</v>
      </c>
      <c r="BD137" s="1" t="s">
        <v>3</v>
      </c>
      <c r="BE137" s="1" t="s">
        <v>3</v>
      </c>
      <c r="BF137" s="1" t="s">
        <v>3</v>
      </c>
      <c r="BG137" s="1" t="s">
        <v>3</v>
      </c>
      <c r="BH137" s="1" t="s">
        <v>3</v>
      </c>
      <c r="BI137" s="1" t="s">
        <v>3</v>
      </c>
      <c r="BJ137" s="1" t="s">
        <v>3</v>
      </c>
      <c r="BK137" s="1" t="s">
        <v>3</v>
      </c>
      <c r="BL137" s="1" t="s">
        <v>3</v>
      </c>
      <c r="BM137" s="1" t="s">
        <v>3</v>
      </c>
      <c r="BN137" s="1" t="s">
        <v>3</v>
      </c>
      <c r="BO137" s="1" t="s">
        <v>3</v>
      </c>
      <c r="BP137" s="1" t="s">
        <v>3</v>
      </c>
      <c r="BQ137" s="1"/>
      <c r="BR137" s="1"/>
      <c r="BS137" s="1"/>
      <c r="BT137" s="1"/>
      <c r="BU137" s="1"/>
      <c r="BV137" s="1"/>
      <c r="BW137" s="1"/>
      <c r="BX137" s="1">
        <v>0</v>
      </c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>
        <v>0</v>
      </c>
    </row>
    <row r="139" spans="1:206" ht="12.75">
      <c r="A139" s="2">
        <v>52</v>
      </c>
      <c r="B139" s="2">
        <f aca="true" t="shared" si="115" ref="B139:G139">B145</f>
        <v>1</v>
      </c>
      <c r="C139" s="2">
        <f t="shared" si="115"/>
        <v>4</v>
      </c>
      <c r="D139" s="2">
        <f t="shared" si="115"/>
        <v>137</v>
      </c>
      <c r="E139" s="2">
        <f t="shared" si="115"/>
        <v>0</v>
      </c>
      <c r="F139" s="2" t="str">
        <f t="shared" si="115"/>
        <v>Новый раздел</v>
      </c>
      <c r="G139" s="2" t="str">
        <f t="shared" si="115"/>
        <v>Пересечение дороги методом ГНБ ( 1х17м, 1х20м, 1х40м)</v>
      </c>
      <c r="H139" s="2"/>
      <c r="I139" s="2"/>
      <c r="J139" s="2"/>
      <c r="K139" s="2"/>
      <c r="L139" s="2"/>
      <c r="M139" s="2"/>
      <c r="N139" s="2"/>
      <c r="O139" s="2">
        <f aca="true" t="shared" si="116" ref="O139:AT139">O145</f>
        <v>27428.11</v>
      </c>
      <c r="P139" s="2">
        <f t="shared" si="116"/>
        <v>4620.08</v>
      </c>
      <c r="Q139" s="2">
        <f t="shared" si="116"/>
        <v>22528.66</v>
      </c>
      <c r="R139" s="2">
        <f t="shared" si="116"/>
        <v>340.35</v>
      </c>
      <c r="S139" s="2">
        <f t="shared" si="116"/>
        <v>279.37</v>
      </c>
      <c r="T139" s="2">
        <f t="shared" si="116"/>
        <v>0</v>
      </c>
      <c r="U139" s="2">
        <f t="shared" si="116"/>
        <v>28.3463179</v>
      </c>
      <c r="V139" s="2">
        <f t="shared" si="116"/>
        <v>25.472738800000002</v>
      </c>
      <c r="W139" s="2">
        <f t="shared" si="116"/>
        <v>0</v>
      </c>
      <c r="X139" s="2">
        <f t="shared" si="116"/>
        <v>656.9</v>
      </c>
      <c r="Y139" s="2">
        <f t="shared" si="116"/>
        <v>278.88</v>
      </c>
      <c r="Z139" s="2">
        <f t="shared" si="116"/>
        <v>0</v>
      </c>
      <c r="AA139" s="2">
        <f t="shared" si="116"/>
        <v>0</v>
      </c>
      <c r="AB139" s="2">
        <f t="shared" si="116"/>
        <v>27428.11</v>
      </c>
      <c r="AC139" s="2">
        <f t="shared" si="116"/>
        <v>4620.08</v>
      </c>
      <c r="AD139" s="2">
        <f t="shared" si="116"/>
        <v>22528.66</v>
      </c>
      <c r="AE139" s="2">
        <f t="shared" si="116"/>
        <v>340.35</v>
      </c>
      <c r="AF139" s="2">
        <f t="shared" si="116"/>
        <v>279.37</v>
      </c>
      <c r="AG139" s="2">
        <f t="shared" si="116"/>
        <v>0</v>
      </c>
      <c r="AH139" s="2">
        <f t="shared" si="116"/>
        <v>28.3463179</v>
      </c>
      <c r="AI139" s="2">
        <f t="shared" si="116"/>
        <v>25.472738800000002</v>
      </c>
      <c r="AJ139" s="2">
        <f t="shared" si="116"/>
        <v>0</v>
      </c>
      <c r="AK139" s="2">
        <f t="shared" si="116"/>
        <v>656.9</v>
      </c>
      <c r="AL139" s="2">
        <f t="shared" si="116"/>
        <v>278.88</v>
      </c>
      <c r="AM139" s="2">
        <f t="shared" si="116"/>
        <v>0</v>
      </c>
      <c r="AN139" s="2">
        <f t="shared" si="116"/>
        <v>0</v>
      </c>
      <c r="AO139" s="2">
        <f t="shared" si="116"/>
        <v>0</v>
      </c>
      <c r="AP139" s="2">
        <f t="shared" si="116"/>
        <v>0</v>
      </c>
      <c r="AQ139" s="2">
        <f t="shared" si="116"/>
        <v>0</v>
      </c>
      <c r="AR139" s="2">
        <f t="shared" si="116"/>
        <v>28363.89</v>
      </c>
      <c r="AS139" s="2">
        <f t="shared" si="116"/>
        <v>24271.91</v>
      </c>
      <c r="AT139" s="2">
        <f t="shared" si="116"/>
        <v>4091.98</v>
      </c>
      <c r="AU139" s="2">
        <f aca="true" t="shared" si="117" ref="AU139:BZ139">AU145</f>
        <v>0</v>
      </c>
      <c r="AV139" s="2">
        <f t="shared" si="117"/>
        <v>4620.08</v>
      </c>
      <c r="AW139" s="2">
        <f t="shared" si="117"/>
        <v>4620.08</v>
      </c>
      <c r="AX139" s="2">
        <f t="shared" si="117"/>
        <v>0</v>
      </c>
      <c r="AY139" s="2">
        <f t="shared" si="117"/>
        <v>4620.08</v>
      </c>
      <c r="AZ139" s="2">
        <f t="shared" si="117"/>
        <v>0</v>
      </c>
      <c r="BA139" s="2">
        <f t="shared" si="117"/>
        <v>0</v>
      </c>
      <c r="BB139" s="2">
        <f t="shared" si="117"/>
        <v>0</v>
      </c>
      <c r="BC139" s="2">
        <f t="shared" si="117"/>
        <v>0</v>
      </c>
      <c r="BD139" s="2">
        <f t="shared" si="117"/>
        <v>0</v>
      </c>
      <c r="BE139" s="2">
        <f t="shared" si="117"/>
        <v>0</v>
      </c>
      <c r="BF139" s="2">
        <f t="shared" si="117"/>
        <v>0</v>
      </c>
      <c r="BG139" s="2">
        <f t="shared" si="117"/>
        <v>0</v>
      </c>
      <c r="BH139" s="2">
        <f t="shared" si="117"/>
        <v>0</v>
      </c>
      <c r="BI139" s="2">
        <f t="shared" si="117"/>
        <v>0</v>
      </c>
      <c r="BJ139" s="2">
        <f t="shared" si="117"/>
        <v>0</v>
      </c>
      <c r="BK139" s="2">
        <f t="shared" si="117"/>
        <v>0</v>
      </c>
      <c r="BL139" s="2">
        <f t="shared" si="117"/>
        <v>0</v>
      </c>
      <c r="BM139" s="2">
        <f t="shared" si="117"/>
        <v>0</v>
      </c>
      <c r="BN139" s="2">
        <f t="shared" si="117"/>
        <v>0</v>
      </c>
      <c r="BO139" s="2">
        <f t="shared" si="117"/>
        <v>0</v>
      </c>
      <c r="BP139" s="2">
        <f t="shared" si="117"/>
        <v>0</v>
      </c>
      <c r="BQ139" s="2">
        <f t="shared" si="117"/>
        <v>0</v>
      </c>
      <c r="BR139" s="2">
        <f t="shared" si="117"/>
        <v>0</v>
      </c>
      <c r="BS139" s="2">
        <f t="shared" si="117"/>
        <v>0</v>
      </c>
      <c r="BT139" s="2">
        <f t="shared" si="117"/>
        <v>0</v>
      </c>
      <c r="BU139" s="2">
        <f t="shared" si="117"/>
        <v>0</v>
      </c>
      <c r="BV139" s="2">
        <f t="shared" si="117"/>
        <v>0</v>
      </c>
      <c r="BW139" s="2">
        <f t="shared" si="117"/>
        <v>0</v>
      </c>
      <c r="BX139" s="2">
        <f t="shared" si="117"/>
        <v>0</v>
      </c>
      <c r="BY139" s="2">
        <f t="shared" si="117"/>
        <v>0</v>
      </c>
      <c r="BZ139" s="2">
        <f t="shared" si="117"/>
        <v>0</v>
      </c>
      <c r="CA139" s="2">
        <f aca="true" t="shared" si="118" ref="CA139:DF139">CA145</f>
        <v>28363.89</v>
      </c>
      <c r="CB139" s="2">
        <f t="shared" si="118"/>
        <v>24271.91</v>
      </c>
      <c r="CC139" s="2">
        <f t="shared" si="118"/>
        <v>4091.98</v>
      </c>
      <c r="CD139" s="2">
        <f t="shared" si="118"/>
        <v>0</v>
      </c>
      <c r="CE139" s="2">
        <f t="shared" si="118"/>
        <v>4620.08</v>
      </c>
      <c r="CF139" s="2">
        <f t="shared" si="118"/>
        <v>4620.08</v>
      </c>
      <c r="CG139" s="2">
        <f t="shared" si="118"/>
        <v>0</v>
      </c>
      <c r="CH139" s="2">
        <f t="shared" si="118"/>
        <v>4620.08</v>
      </c>
      <c r="CI139" s="2">
        <f t="shared" si="118"/>
        <v>0</v>
      </c>
      <c r="CJ139" s="2">
        <f t="shared" si="118"/>
        <v>0</v>
      </c>
      <c r="CK139" s="2">
        <f t="shared" si="118"/>
        <v>0</v>
      </c>
      <c r="CL139" s="2">
        <f t="shared" si="118"/>
        <v>0</v>
      </c>
      <c r="CM139" s="2">
        <f t="shared" si="118"/>
        <v>0</v>
      </c>
      <c r="CN139" s="2">
        <f t="shared" si="118"/>
        <v>0</v>
      </c>
      <c r="CO139" s="2">
        <f t="shared" si="118"/>
        <v>0</v>
      </c>
      <c r="CP139" s="2">
        <f t="shared" si="118"/>
        <v>0</v>
      </c>
      <c r="CQ139" s="2">
        <f t="shared" si="118"/>
        <v>0</v>
      </c>
      <c r="CR139" s="2">
        <f t="shared" si="118"/>
        <v>0</v>
      </c>
      <c r="CS139" s="2">
        <f t="shared" si="118"/>
        <v>0</v>
      </c>
      <c r="CT139" s="2">
        <f t="shared" si="118"/>
        <v>0</v>
      </c>
      <c r="CU139" s="2">
        <f t="shared" si="118"/>
        <v>0</v>
      </c>
      <c r="CV139" s="2">
        <f t="shared" si="118"/>
        <v>0</v>
      </c>
      <c r="CW139" s="2">
        <f t="shared" si="118"/>
        <v>0</v>
      </c>
      <c r="CX139" s="2">
        <f t="shared" si="118"/>
        <v>0</v>
      </c>
      <c r="CY139" s="2">
        <f t="shared" si="118"/>
        <v>0</v>
      </c>
      <c r="CZ139" s="2">
        <f t="shared" si="118"/>
        <v>0</v>
      </c>
      <c r="DA139" s="2">
        <f t="shared" si="118"/>
        <v>0</v>
      </c>
      <c r="DB139" s="2">
        <f t="shared" si="118"/>
        <v>0</v>
      </c>
      <c r="DC139" s="2">
        <f t="shared" si="118"/>
        <v>0</v>
      </c>
      <c r="DD139" s="2">
        <f t="shared" si="118"/>
        <v>0</v>
      </c>
      <c r="DE139" s="2">
        <f t="shared" si="118"/>
        <v>0</v>
      </c>
      <c r="DF139" s="2">
        <f t="shared" si="118"/>
        <v>0</v>
      </c>
      <c r="DG139" s="3">
        <f aca="true" t="shared" si="119" ref="DG139:EL139">DG145</f>
        <v>0</v>
      </c>
      <c r="DH139" s="3">
        <f t="shared" si="119"/>
        <v>0</v>
      </c>
      <c r="DI139" s="3">
        <f t="shared" si="119"/>
        <v>0</v>
      </c>
      <c r="DJ139" s="3">
        <f t="shared" si="119"/>
        <v>0</v>
      </c>
      <c r="DK139" s="3">
        <f t="shared" si="119"/>
        <v>0</v>
      </c>
      <c r="DL139" s="3">
        <f t="shared" si="119"/>
        <v>0</v>
      </c>
      <c r="DM139" s="3">
        <f t="shared" si="119"/>
        <v>0</v>
      </c>
      <c r="DN139" s="3">
        <f t="shared" si="119"/>
        <v>0</v>
      </c>
      <c r="DO139" s="3">
        <f t="shared" si="119"/>
        <v>0</v>
      </c>
      <c r="DP139" s="3">
        <f t="shared" si="119"/>
        <v>0</v>
      </c>
      <c r="DQ139" s="3">
        <f t="shared" si="119"/>
        <v>0</v>
      </c>
      <c r="DR139" s="3">
        <f t="shared" si="119"/>
        <v>0</v>
      </c>
      <c r="DS139" s="3">
        <f t="shared" si="119"/>
        <v>0</v>
      </c>
      <c r="DT139" s="3">
        <f t="shared" si="119"/>
        <v>0</v>
      </c>
      <c r="DU139" s="3">
        <f t="shared" si="119"/>
        <v>0</v>
      </c>
      <c r="DV139" s="3">
        <f t="shared" si="119"/>
        <v>0</v>
      </c>
      <c r="DW139" s="3">
        <f t="shared" si="119"/>
        <v>0</v>
      </c>
      <c r="DX139" s="3">
        <f t="shared" si="119"/>
        <v>0</v>
      </c>
      <c r="DY139" s="3">
        <f t="shared" si="119"/>
        <v>0</v>
      </c>
      <c r="DZ139" s="3">
        <f t="shared" si="119"/>
        <v>0</v>
      </c>
      <c r="EA139" s="3">
        <f t="shared" si="119"/>
        <v>0</v>
      </c>
      <c r="EB139" s="3">
        <f t="shared" si="119"/>
        <v>0</v>
      </c>
      <c r="EC139" s="3">
        <f t="shared" si="119"/>
        <v>0</v>
      </c>
      <c r="ED139" s="3">
        <f t="shared" si="119"/>
        <v>0</v>
      </c>
      <c r="EE139" s="3">
        <f t="shared" si="119"/>
        <v>0</v>
      </c>
      <c r="EF139" s="3">
        <f t="shared" si="119"/>
        <v>0</v>
      </c>
      <c r="EG139" s="3">
        <f t="shared" si="119"/>
        <v>0</v>
      </c>
      <c r="EH139" s="3">
        <f t="shared" si="119"/>
        <v>0</v>
      </c>
      <c r="EI139" s="3">
        <f t="shared" si="119"/>
        <v>0</v>
      </c>
      <c r="EJ139" s="3">
        <f t="shared" si="119"/>
        <v>0</v>
      </c>
      <c r="EK139" s="3">
        <f t="shared" si="119"/>
        <v>0</v>
      </c>
      <c r="EL139" s="3">
        <f t="shared" si="119"/>
        <v>0</v>
      </c>
      <c r="EM139" s="3">
        <f aca="true" t="shared" si="120" ref="EM139:FR139">EM145</f>
        <v>0</v>
      </c>
      <c r="EN139" s="3">
        <f t="shared" si="120"/>
        <v>0</v>
      </c>
      <c r="EO139" s="3">
        <f t="shared" si="120"/>
        <v>0</v>
      </c>
      <c r="EP139" s="3">
        <f t="shared" si="120"/>
        <v>0</v>
      </c>
      <c r="EQ139" s="3">
        <f t="shared" si="120"/>
        <v>0</v>
      </c>
      <c r="ER139" s="3">
        <f t="shared" si="120"/>
        <v>0</v>
      </c>
      <c r="ES139" s="3">
        <f t="shared" si="120"/>
        <v>0</v>
      </c>
      <c r="ET139" s="3">
        <f t="shared" si="120"/>
        <v>0</v>
      </c>
      <c r="EU139" s="3">
        <f t="shared" si="120"/>
        <v>0</v>
      </c>
      <c r="EV139" s="3">
        <f t="shared" si="120"/>
        <v>0</v>
      </c>
      <c r="EW139" s="3">
        <f t="shared" si="120"/>
        <v>0</v>
      </c>
      <c r="EX139" s="3">
        <f t="shared" si="120"/>
        <v>0</v>
      </c>
      <c r="EY139" s="3">
        <f t="shared" si="120"/>
        <v>0</v>
      </c>
      <c r="EZ139" s="3">
        <f t="shared" si="120"/>
        <v>0</v>
      </c>
      <c r="FA139" s="3">
        <f t="shared" si="120"/>
        <v>0</v>
      </c>
      <c r="FB139" s="3">
        <f t="shared" si="120"/>
        <v>0</v>
      </c>
      <c r="FC139" s="3">
        <f t="shared" si="120"/>
        <v>0</v>
      </c>
      <c r="FD139" s="3">
        <f t="shared" si="120"/>
        <v>0</v>
      </c>
      <c r="FE139" s="3">
        <f t="shared" si="120"/>
        <v>0</v>
      </c>
      <c r="FF139" s="3">
        <f t="shared" si="120"/>
        <v>0</v>
      </c>
      <c r="FG139" s="3">
        <f t="shared" si="120"/>
        <v>0</v>
      </c>
      <c r="FH139" s="3">
        <f t="shared" si="120"/>
        <v>0</v>
      </c>
      <c r="FI139" s="3">
        <f t="shared" si="120"/>
        <v>0</v>
      </c>
      <c r="FJ139" s="3">
        <f t="shared" si="120"/>
        <v>0</v>
      </c>
      <c r="FK139" s="3">
        <f t="shared" si="120"/>
        <v>0</v>
      </c>
      <c r="FL139" s="3">
        <f t="shared" si="120"/>
        <v>0</v>
      </c>
      <c r="FM139" s="3">
        <f t="shared" si="120"/>
        <v>0</v>
      </c>
      <c r="FN139" s="3">
        <f t="shared" si="120"/>
        <v>0</v>
      </c>
      <c r="FO139" s="3">
        <f t="shared" si="120"/>
        <v>0</v>
      </c>
      <c r="FP139" s="3">
        <f t="shared" si="120"/>
        <v>0</v>
      </c>
      <c r="FQ139" s="3">
        <f t="shared" si="120"/>
        <v>0</v>
      </c>
      <c r="FR139" s="3">
        <f t="shared" si="120"/>
        <v>0</v>
      </c>
      <c r="FS139" s="3">
        <f aca="true" t="shared" si="121" ref="FS139:GX139">FS145</f>
        <v>0</v>
      </c>
      <c r="FT139" s="3">
        <f t="shared" si="121"/>
        <v>0</v>
      </c>
      <c r="FU139" s="3">
        <f t="shared" si="121"/>
        <v>0</v>
      </c>
      <c r="FV139" s="3">
        <f t="shared" si="121"/>
        <v>0</v>
      </c>
      <c r="FW139" s="3">
        <f t="shared" si="121"/>
        <v>0</v>
      </c>
      <c r="FX139" s="3">
        <f t="shared" si="121"/>
        <v>0</v>
      </c>
      <c r="FY139" s="3">
        <f t="shared" si="121"/>
        <v>0</v>
      </c>
      <c r="FZ139" s="3">
        <f t="shared" si="121"/>
        <v>0</v>
      </c>
      <c r="GA139" s="3">
        <f t="shared" si="121"/>
        <v>0</v>
      </c>
      <c r="GB139" s="3">
        <f t="shared" si="121"/>
        <v>0</v>
      </c>
      <c r="GC139" s="3">
        <f t="shared" si="121"/>
        <v>0</v>
      </c>
      <c r="GD139" s="3">
        <f t="shared" si="121"/>
        <v>0</v>
      </c>
      <c r="GE139" s="3">
        <f t="shared" si="121"/>
        <v>0</v>
      </c>
      <c r="GF139" s="3">
        <f t="shared" si="121"/>
        <v>0</v>
      </c>
      <c r="GG139" s="3">
        <f t="shared" si="121"/>
        <v>0</v>
      </c>
      <c r="GH139" s="3">
        <f t="shared" si="121"/>
        <v>0</v>
      </c>
      <c r="GI139" s="3">
        <f t="shared" si="121"/>
        <v>0</v>
      </c>
      <c r="GJ139" s="3">
        <f t="shared" si="121"/>
        <v>0</v>
      </c>
      <c r="GK139" s="3">
        <f t="shared" si="121"/>
        <v>0</v>
      </c>
      <c r="GL139" s="3">
        <f t="shared" si="121"/>
        <v>0</v>
      </c>
      <c r="GM139" s="3">
        <f t="shared" si="121"/>
        <v>0</v>
      </c>
      <c r="GN139" s="3">
        <f t="shared" si="121"/>
        <v>0</v>
      </c>
      <c r="GO139" s="3">
        <f t="shared" si="121"/>
        <v>0</v>
      </c>
      <c r="GP139" s="3">
        <f t="shared" si="121"/>
        <v>0</v>
      </c>
      <c r="GQ139" s="3">
        <f t="shared" si="121"/>
        <v>0</v>
      </c>
      <c r="GR139" s="3">
        <f t="shared" si="121"/>
        <v>0</v>
      </c>
      <c r="GS139" s="3">
        <f t="shared" si="121"/>
        <v>0</v>
      </c>
      <c r="GT139" s="3">
        <f t="shared" si="121"/>
        <v>0</v>
      </c>
      <c r="GU139" s="3">
        <f t="shared" si="121"/>
        <v>0</v>
      </c>
      <c r="GV139" s="3">
        <f t="shared" si="121"/>
        <v>0</v>
      </c>
      <c r="GW139" s="3">
        <f t="shared" si="121"/>
        <v>0</v>
      </c>
      <c r="GX139" s="3">
        <f t="shared" si="121"/>
        <v>0</v>
      </c>
    </row>
    <row r="141" spans="1:245" ht="12.75">
      <c r="A141">
        <v>17</v>
      </c>
      <c r="B141">
        <v>1</v>
      </c>
      <c r="C141">
        <f>ROW(SmtRes!A134)</f>
        <v>134</v>
      </c>
      <c r="D141">
        <f>ROW(EtalonRes!A136)</f>
        <v>136</v>
      </c>
      <c r="E141" t="s">
        <v>232</v>
      </c>
      <c r="F141" t="s">
        <v>233</v>
      </c>
      <c r="G141" t="s">
        <v>234</v>
      </c>
      <c r="H141" t="s">
        <v>235</v>
      </c>
      <c r="I141">
        <f>ROUND(ROUND(74/100,4),7)</f>
        <v>0.74</v>
      </c>
      <c r="J141">
        <v>0</v>
      </c>
      <c r="K141">
        <f>ROUND(ROUND(74/100,4),7)</f>
        <v>0.74</v>
      </c>
      <c r="O141">
        <f>ROUND(CP141,2)</f>
        <v>9484.64</v>
      </c>
      <c r="P141">
        <f>ROUND(CQ141*I141,2)</f>
        <v>7.13</v>
      </c>
      <c r="Q141">
        <f>ROUND(CR141*I141,2)</f>
        <v>9403.21</v>
      </c>
      <c r="R141">
        <f>ROUND(CS141*I141,2)</f>
        <v>106.07</v>
      </c>
      <c r="S141">
        <f>ROUND(CT141*I141,2)</f>
        <v>74.3</v>
      </c>
      <c r="T141">
        <f>ROUND(CU141*I141,2)</f>
        <v>0</v>
      </c>
      <c r="U141">
        <f>CV141*I141</f>
        <v>7.377800000000001</v>
      </c>
      <c r="V141">
        <f>CW141*I141</f>
        <v>7.4074</v>
      </c>
      <c r="W141">
        <f>ROUND(CX141*I141,2)</f>
        <v>0</v>
      </c>
      <c r="X141">
        <f aca="true" t="shared" si="122" ref="X141:Y143">ROUND(CY141,2)</f>
        <v>191.19</v>
      </c>
      <c r="Y141">
        <f t="shared" si="122"/>
        <v>81.17</v>
      </c>
      <c r="AA141">
        <v>44571020</v>
      </c>
      <c r="AB141">
        <f>ROUND((AC141+AD141+AF141),2)</f>
        <v>12817.08</v>
      </c>
      <c r="AC141">
        <f>ROUND((ES141),2)</f>
        <v>9.64</v>
      </c>
      <c r="AD141">
        <f>ROUND((((ET141)-(EU141))+AE141),2)</f>
        <v>12707.04</v>
      </c>
      <c r="AE141">
        <f>ROUND((EU141),2)</f>
        <v>143.34</v>
      </c>
      <c r="AF141">
        <f>ROUND((EV141),2)</f>
        <v>100.4</v>
      </c>
      <c r="AG141">
        <f>ROUND((AP141),2)</f>
        <v>0</v>
      </c>
      <c r="AH141">
        <f>(EW141)</f>
        <v>9.97</v>
      </c>
      <c r="AI141">
        <f>(EX141)</f>
        <v>10.01</v>
      </c>
      <c r="AJ141">
        <f>(AS141)</f>
        <v>0</v>
      </c>
      <c r="AK141">
        <v>12817.08</v>
      </c>
      <c r="AL141">
        <v>9.64</v>
      </c>
      <c r="AM141">
        <v>12707.04</v>
      </c>
      <c r="AN141">
        <v>143.34</v>
      </c>
      <c r="AO141">
        <v>100.4</v>
      </c>
      <c r="AP141">
        <v>0</v>
      </c>
      <c r="AQ141">
        <v>9.97</v>
      </c>
      <c r="AR141">
        <v>10.01</v>
      </c>
      <c r="AS141">
        <v>0</v>
      </c>
      <c r="AT141">
        <v>106</v>
      </c>
      <c r="AU141">
        <v>45</v>
      </c>
      <c r="AV141">
        <v>1</v>
      </c>
      <c r="AW141">
        <v>1</v>
      </c>
      <c r="AZ141">
        <v>1</v>
      </c>
      <c r="BA141">
        <v>28.93</v>
      </c>
      <c r="BB141">
        <v>1</v>
      </c>
      <c r="BC141">
        <v>1</v>
      </c>
      <c r="BH141">
        <v>0</v>
      </c>
      <c r="BI141">
        <v>1</v>
      </c>
      <c r="BJ141" t="s">
        <v>236</v>
      </c>
      <c r="BM141">
        <v>4001</v>
      </c>
      <c r="BN141">
        <v>0</v>
      </c>
      <c r="BP141">
        <v>0</v>
      </c>
      <c r="BQ141">
        <v>2</v>
      </c>
      <c r="BR141">
        <v>0</v>
      </c>
      <c r="BS141">
        <v>28.93</v>
      </c>
      <c r="BT141">
        <v>1</v>
      </c>
      <c r="BU141">
        <v>1</v>
      </c>
      <c r="BV141">
        <v>1</v>
      </c>
      <c r="BW141">
        <v>1</v>
      </c>
      <c r="BX141">
        <v>1</v>
      </c>
      <c r="BZ141">
        <v>106</v>
      </c>
      <c r="CA141">
        <v>45</v>
      </c>
      <c r="CE141">
        <v>0</v>
      </c>
      <c r="CF141">
        <v>0</v>
      </c>
      <c r="CG141">
        <v>0</v>
      </c>
      <c r="CM141">
        <v>0</v>
      </c>
      <c r="CO141">
        <v>0</v>
      </c>
      <c r="CP141">
        <f>(P141+Q141+S141)</f>
        <v>9484.639999999998</v>
      </c>
      <c r="CQ141">
        <f>AC141*BC141</f>
        <v>9.64</v>
      </c>
      <c r="CR141">
        <f>AD141*BB141</f>
        <v>12707.04</v>
      </c>
      <c r="CS141">
        <f aca="true" t="shared" si="123" ref="CS141:CX143">AE141</f>
        <v>143.34</v>
      </c>
      <c r="CT141">
        <f t="shared" si="123"/>
        <v>100.4</v>
      </c>
      <c r="CU141">
        <f t="shared" si="123"/>
        <v>0</v>
      </c>
      <c r="CV141">
        <f t="shared" si="123"/>
        <v>9.97</v>
      </c>
      <c r="CW141">
        <f t="shared" si="123"/>
        <v>10.01</v>
      </c>
      <c r="CX141">
        <f t="shared" si="123"/>
        <v>0</v>
      </c>
      <c r="CY141">
        <f>(((S141+R141)*AT141)/100)</f>
        <v>191.1922</v>
      </c>
      <c r="CZ141">
        <f>(((S141+R141)*AU141)/100)</f>
        <v>81.1665</v>
      </c>
      <c r="DN141">
        <v>0</v>
      </c>
      <c r="DO141">
        <v>0</v>
      </c>
      <c r="DP141">
        <v>1</v>
      </c>
      <c r="DQ141">
        <v>1</v>
      </c>
      <c r="DU141">
        <v>1003</v>
      </c>
      <c r="DV141" t="s">
        <v>235</v>
      </c>
      <c r="DW141" t="s">
        <v>235</v>
      </c>
      <c r="DX141">
        <v>100</v>
      </c>
      <c r="EE141">
        <v>37976027</v>
      </c>
      <c r="EF141">
        <v>2</v>
      </c>
      <c r="EG141" t="s">
        <v>23</v>
      </c>
      <c r="EH141">
        <v>4</v>
      </c>
      <c r="EI141" t="s">
        <v>237</v>
      </c>
      <c r="EJ141">
        <v>1</v>
      </c>
      <c r="EK141">
        <v>4001</v>
      </c>
      <c r="EL141" t="s">
        <v>237</v>
      </c>
      <c r="EM141" t="s">
        <v>238</v>
      </c>
      <c r="EQ141">
        <v>0</v>
      </c>
      <c r="ER141">
        <v>12817.08</v>
      </c>
      <c r="ES141">
        <v>9.64</v>
      </c>
      <c r="ET141">
        <v>12707.04</v>
      </c>
      <c r="EU141">
        <v>143.34</v>
      </c>
      <c r="EV141">
        <v>100.4</v>
      </c>
      <c r="EW141">
        <v>9.97</v>
      </c>
      <c r="EX141">
        <v>10.01</v>
      </c>
      <c r="EY141">
        <v>0</v>
      </c>
      <c r="FQ141">
        <v>0</v>
      </c>
      <c r="FR141">
        <f>ROUND(IF(AND(BH141=3,BI141=3),P141,0),2)</f>
        <v>0</v>
      </c>
      <c r="FS141">
        <v>0</v>
      </c>
      <c r="FX141">
        <v>106</v>
      </c>
      <c r="FY141">
        <v>45</v>
      </c>
      <c r="GD141">
        <v>1</v>
      </c>
      <c r="GF141">
        <v>1339164479</v>
      </c>
      <c r="GG141">
        <v>2</v>
      </c>
      <c r="GH141">
        <v>1</v>
      </c>
      <c r="GI141">
        <v>4</v>
      </c>
      <c r="GJ141">
        <v>0</v>
      </c>
      <c r="GK141">
        <v>0</v>
      </c>
      <c r="GL141">
        <f>ROUND(IF(AND(BH141=3,BI141=3,FS141&lt;&gt;0),P141,0),2)</f>
        <v>0</v>
      </c>
      <c r="GM141">
        <f>ROUND(O141+X141+Y141,2)+GX141</f>
        <v>9757</v>
      </c>
      <c r="GN141">
        <f>IF(OR(BI141=0,BI141=1),ROUND(O141+X141+Y141,2),0)</f>
        <v>9757</v>
      </c>
      <c r="GO141">
        <f>IF(BI141=2,ROUND(O141+X141+Y141,2),0)</f>
        <v>0</v>
      </c>
      <c r="GP141">
        <f>IF(BI141=4,ROUND(O141+X141+Y141,2)+GX141,0)</f>
        <v>0</v>
      </c>
      <c r="GR141">
        <v>0</v>
      </c>
      <c r="GS141">
        <v>0</v>
      </c>
      <c r="GT141">
        <v>0</v>
      </c>
      <c r="GV141">
        <f>ROUND((GT141),2)</f>
        <v>0</v>
      </c>
      <c r="GW141">
        <v>1</v>
      </c>
      <c r="GX141">
        <f>ROUND(HC141*I141,2)</f>
        <v>0</v>
      </c>
      <c r="HA141">
        <v>0</v>
      </c>
      <c r="HB141">
        <v>0</v>
      </c>
      <c r="HC141">
        <f>GV141*GW141</f>
        <v>0</v>
      </c>
      <c r="HI141">
        <f>ROUND(R141*BS141,2)</f>
        <v>3068.61</v>
      </c>
      <c r="HJ141">
        <f>ROUND(S141*BA141,2)</f>
        <v>2149.5</v>
      </c>
      <c r="HK141">
        <f>ROUND((((HJ141+HI141)*AT141)/100),2)</f>
        <v>5531.2</v>
      </c>
      <c r="HL141">
        <f>ROUND((((HJ141+HI141)*AU141)/100),2)</f>
        <v>2348.15</v>
      </c>
      <c r="HN141" t="s">
        <v>239</v>
      </c>
      <c r="HO141" t="s">
        <v>240</v>
      </c>
      <c r="HP141" t="s">
        <v>237</v>
      </c>
      <c r="HQ141" t="s">
        <v>237</v>
      </c>
      <c r="IK141">
        <v>0</v>
      </c>
    </row>
    <row r="142" spans="1:245" ht="12.75">
      <c r="A142">
        <v>17</v>
      </c>
      <c r="B142">
        <v>1</v>
      </c>
      <c r="C142">
        <f>ROW(SmtRes!A148)</f>
        <v>148</v>
      </c>
      <c r="D142">
        <f>ROW(EtalonRes!A153)</f>
        <v>153</v>
      </c>
      <c r="E142" t="s">
        <v>241</v>
      </c>
      <c r="F142" t="s">
        <v>242</v>
      </c>
      <c r="G142" t="s">
        <v>736</v>
      </c>
      <c r="H142" t="s">
        <v>235</v>
      </c>
      <c r="I142">
        <f>ROUND(ROUND(74/100,4),7)</f>
        <v>0.74</v>
      </c>
      <c r="J142">
        <v>0</v>
      </c>
      <c r="K142">
        <f>ROUND(ROUND(74/100,4),7)</f>
        <v>0.74</v>
      </c>
      <c r="O142">
        <f>ROUND(CP142,2)</f>
        <v>13851.49</v>
      </c>
      <c r="P142">
        <f>ROUND(CQ142*I142,2)</f>
        <v>520.97</v>
      </c>
      <c r="Q142">
        <f>ROUND(CR142*I142,2)</f>
        <v>13125.45</v>
      </c>
      <c r="R142">
        <f>ROUND(CS142*I142,2)</f>
        <v>234.28</v>
      </c>
      <c r="S142">
        <f>ROUND(CT142*I142,2)</f>
        <v>205.07</v>
      </c>
      <c r="T142">
        <f>ROUND(CU142*I142,2)</f>
        <v>0</v>
      </c>
      <c r="U142">
        <f>CV142*I142</f>
        <v>20.9685179</v>
      </c>
      <c r="V142">
        <f>CW142*I142</f>
        <v>18.065338800000003</v>
      </c>
      <c r="W142">
        <f>ROUND(CX142*I142,2)</f>
        <v>0</v>
      </c>
      <c r="X142">
        <f t="shared" si="122"/>
        <v>465.71</v>
      </c>
      <c r="Y142">
        <f t="shared" si="122"/>
        <v>197.71</v>
      </c>
      <c r="AA142">
        <v>44571020</v>
      </c>
      <c r="AB142">
        <f>ROUND((AC142+AD142+AF142),2)</f>
        <v>18718.23</v>
      </c>
      <c r="AC142">
        <f>ROUND((ES142),2)</f>
        <v>704.01</v>
      </c>
      <c r="AD142">
        <f>ROUND(((((ET142*ROUND(0.3385,7)))-((EU142*ROUND(0.3385,7))))+AE142),2)</f>
        <v>17737.1</v>
      </c>
      <c r="AE142">
        <f>ROUND(((EU142*ROUND(0.3385,7))),2)</f>
        <v>316.6</v>
      </c>
      <c r="AF142">
        <f>ROUND(((EV142*ROUND(0.3385,7))),2)</f>
        <v>277.12</v>
      </c>
      <c r="AG142">
        <f>ROUND((AP142),2)</f>
        <v>0</v>
      </c>
      <c r="AH142">
        <f>((EW142*ROUND(0.3385,7)))</f>
        <v>28.335835</v>
      </c>
      <c r="AI142">
        <f>((EX142*ROUND(0.3385,7)))</f>
        <v>24.412620000000004</v>
      </c>
      <c r="AJ142">
        <f>(AS142)</f>
        <v>0</v>
      </c>
      <c r="AK142">
        <v>53921.78</v>
      </c>
      <c r="AL142">
        <v>704.01</v>
      </c>
      <c r="AM142">
        <v>52399.09</v>
      </c>
      <c r="AN142">
        <v>935.29</v>
      </c>
      <c r="AO142">
        <v>818.68</v>
      </c>
      <c r="AP142">
        <v>0</v>
      </c>
      <c r="AQ142">
        <v>83.71</v>
      </c>
      <c r="AR142">
        <v>72.12</v>
      </c>
      <c r="AS142">
        <v>0</v>
      </c>
      <c r="AT142">
        <v>106</v>
      </c>
      <c r="AU142">
        <v>45</v>
      </c>
      <c r="AV142">
        <v>1</v>
      </c>
      <c r="AW142">
        <v>1</v>
      </c>
      <c r="AZ142">
        <v>1</v>
      </c>
      <c r="BA142">
        <v>28.93</v>
      </c>
      <c r="BB142">
        <v>1</v>
      </c>
      <c r="BC142">
        <v>1</v>
      </c>
      <c r="BH142">
        <v>0</v>
      </c>
      <c r="BI142">
        <v>1</v>
      </c>
      <c r="BJ142" t="s">
        <v>243</v>
      </c>
      <c r="BM142">
        <v>4001</v>
      </c>
      <c r="BN142">
        <v>0</v>
      </c>
      <c r="BP142">
        <v>0</v>
      </c>
      <c r="BQ142">
        <v>2</v>
      </c>
      <c r="BR142">
        <v>0</v>
      </c>
      <c r="BS142">
        <v>28.93</v>
      </c>
      <c r="BT142">
        <v>1</v>
      </c>
      <c r="BU142">
        <v>1</v>
      </c>
      <c r="BV142">
        <v>1</v>
      </c>
      <c r="BW142">
        <v>1</v>
      </c>
      <c r="BX142">
        <v>1</v>
      </c>
      <c r="BZ142">
        <v>106</v>
      </c>
      <c r="CA142">
        <v>45</v>
      </c>
      <c r="CE142">
        <v>0</v>
      </c>
      <c r="CF142">
        <v>0</v>
      </c>
      <c r="CG142">
        <v>0</v>
      </c>
      <c r="CM142">
        <v>0</v>
      </c>
      <c r="CO142">
        <v>0</v>
      </c>
      <c r="CP142">
        <f>(P142+Q142+S142)</f>
        <v>13851.49</v>
      </c>
      <c r="CQ142">
        <f>AC142*BC142</f>
        <v>704.01</v>
      </c>
      <c r="CR142">
        <f>AD142*BB142</f>
        <v>17737.1</v>
      </c>
      <c r="CS142">
        <f t="shared" si="123"/>
        <v>316.6</v>
      </c>
      <c r="CT142">
        <f t="shared" si="123"/>
        <v>277.12</v>
      </c>
      <c r="CU142">
        <f t="shared" si="123"/>
        <v>0</v>
      </c>
      <c r="CV142">
        <f t="shared" si="123"/>
        <v>28.335835</v>
      </c>
      <c r="CW142">
        <f t="shared" si="123"/>
        <v>24.412620000000004</v>
      </c>
      <c r="CX142">
        <f t="shared" si="123"/>
        <v>0</v>
      </c>
      <c r="CY142">
        <f>(((S142+R142)*AT142)/100)</f>
        <v>465.71100000000007</v>
      </c>
      <c r="CZ142">
        <f>(((S142+R142)*AU142)/100)</f>
        <v>197.7075</v>
      </c>
      <c r="DE142" t="s">
        <v>244</v>
      </c>
      <c r="DF142" t="s">
        <v>244</v>
      </c>
      <c r="DG142" t="s">
        <v>244</v>
      </c>
      <c r="DI142" t="s">
        <v>244</v>
      </c>
      <c r="DJ142" t="s">
        <v>244</v>
      </c>
      <c r="DN142">
        <v>0</v>
      </c>
      <c r="DO142">
        <v>0</v>
      </c>
      <c r="DP142">
        <v>1</v>
      </c>
      <c r="DQ142">
        <v>1</v>
      </c>
      <c r="DU142">
        <v>1003</v>
      </c>
      <c r="DV142" t="s">
        <v>235</v>
      </c>
      <c r="DW142" t="s">
        <v>235</v>
      </c>
      <c r="DX142">
        <v>100</v>
      </c>
      <c r="EE142">
        <v>37976027</v>
      </c>
      <c r="EF142">
        <v>2</v>
      </c>
      <c r="EG142" t="s">
        <v>23</v>
      </c>
      <c r="EH142">
        <v>4</v>
      </c>
      <c r="EI142" t="s">
        <v>237</v>
      </c>
      <c r="EJ142">
        <v>1</v>
      </c>
      <c r="EK142">
        <v>4001</v>
      </c>
      <c r="EL142" t="s">
        <v>237</v>
      </c>
      <c r="EM142" t="s">
        <v>238</v>
      </c>
      <c r="EQ142">
        <v>0</v>
      </c>
      <c r="ER142">
        <v>53921.78</v>
      </c>
      <c r="ES142">
        <v>704.01</v>
      </c>
      <c r="ET142">
        <v>52399.09</v>
      </c>
      <c r="EU142">
        <v>935.29</v>
      </c>
      <c r="EV142">
        <v>818.68</v>
      </c>
      <c r="EW142">
        <v>83.71</v>
      </c>
      <c r="EX142">
        <v>72.12</v>
      </c>
      <c r="EY142">
        <v>0</v>
      </c>
      <c r="FQ142">
        <v>0</v>
      </c>
      <c r="FR142">
        <f>ROUND(IF(AND(BH142=3,BI142=3),P142,0),2)</f>
        <v>0</v>
      </c>
      <c r="FS142">
        <v>0</v>
      </c>
      <c r="FX142">
        <v>106</v>
      </c>
      <c r="FY142">
        <v>45</v>
      </c>
      <c r="GD142">
        <v>1</v>
      </c>
      <c r="GF142">
        <v>801966997</v>
      </c>
      <c r="GG142">
        <v>2</v>
      </c>
      <c r="GH142">
        <v>1</v>
      </c>
      <c r="GI142">
        <v>4</v>
      </c>
      <c r="GJ142">
        <v>0</v>
      </c>
      <c r="GK142">
        <v>0</v>
      </c>
      <c r="GL142">
        <f>ROUND(IF(AND(BH142=3,BI142=3,FS142&lt;&gt;0),P142,0),2)</f>
        <v>0</v>
      </c>
      <c r="GM142">
        <f>ROUND(O142+X142+Y142,2)+GX142</f>
        <v>14514.91</v>
      </c>
      <c r="GN142">
        <f>IF(OR(BI142=0,BI142=1),ROUND(O142+X142+Y142,2),0)</f>
        <v>14514.91</v>
      </c>
      <c r="GO142">
        <f>IF(BI142=2,ROUND(O142+X142+Y142,2),0)</f>
        <v>0</v>
      </c>
      <c r="GP142">
        <f>IF(BI142=4,ROUND(O142+X142+Y142,2)+GX142,0)</f>
        <v>0</v>
      </c>
      <c r="GR142">
        <v>0</v>
      </c>
      <c r="GS142">
        <v>0</v>
      </c>
      <c r="GT142">
        <v>0</v>
      </c>
      <c r="GV142">
        <f>ROUND((GT142),2)</f>
        <v>0</v>
      </c>
      <c r="GW142">
        <v>1</v>
      </c>
      <c r="GX142">
        <f>ROUND(HC142*I142,2)</f>
        <v>0</v>
      </c>
      <c r="HA142">
        <v>0</v>
      </c>
      <c r="HB142">
        <v>0</v>
      </c>
      <c r="HC142">
        <f>GV142*GW142</f>
        <v>0</v>
      </c>
      <c r="HI142">
        <f>ROUND(R142*BS142,2)</f>
        <v>6777.72</v>
      </c>
      <c r="HJ142">
        <f>ROUND(S142*BA142,2)</f>
        <v>5932.68</v>
      </c>
      <c r="HK142">
        <f>ROUND((((HJ142+HI142)*AT142)/100),2)</f>
        <v>13473.02</v>
      </c>
      <c r="HL142">
        <f>ROUND((((HJ142+HI142)*AU142)/100),2)</f>
        <v>5719.68</v>
      </c>
      <c r="HN142" t="s">
        <v>239</v>
      </c>
      <c r="HO142" t="s">
        <v>240</v>
      </c>
      <c r="HP142" t="s">
        <v>237</v>
      </c>
      <c r="HQ142" t="s">
        <v>237</v>
      </c>
      <c r="IK142">
        <v>0</v>
      </c>
    </row>
    <row r="143" spans="1:245" ht="12.75">
      <c r="A143">
        <v>17</v>
      </c>
      <c r="B143">
        <v>1</v>
      </c>
      <c r="E143" t="s">
        <v>245</v>
      </c>
      <c r="F143" t="s">
        <v>246</v>
      </c>
      <c r="G143" t="s">
        <v>247</v>
      </c>
      <c r="H143" t="s">
        <v>248</v>
      </c>
      <c r="I143">
        <f>ROUND(ROUND(74/10,4),7)</f>
        <v>7.4</v>
      </c>
      <c r="J143">
        <v>0</v>
      </c>
      <c r="K143">
        <f>ROUND(ROUND(74/10,4),7)</f>
        <v>7.4</v>
      </c>
      <c r="O143">
        <f>ROUND(CP143,2)</f>
        <v>4091.98</v>
      </c>
      <c r="P143">
        <f>ROUND(CQ143*I143,2)</f>
        <v>4091.98</v>
      </c>
      <c r="Q143">
        <f>ROUND(CR143*I143,2)</f>
        <v>0</v>
      </c>
      <c r="R143">
        <f>ROUND(CS143*I143,2)</f>
        <v>0</v>
      </c>
      <c r="S143">
        <f>ROUND(CT143*I143,2)</f>
        <v>0</v>
      </c>
      <c r="T143">
        <f>ROUND(CU143*I143,2)</f>
        <v>0</v>
      </c>
      <c r="U143">
        <f>CV143*I143</f>
        <v>0</v>
      </c>
      <c r="V143">
        <f>CW143*I143</f>
        <v>0</v>
      </c>
      <c r="W143">
        <f>ROUND(CX143*I143,2)</f>
        <v>0</v>
      </c>
      <c r="X143">
        <f t="shared" si="122"/>
        <v>0</v>
      </c>
      <c r="Y143">
        <f t="shared" si="122"/>
        <v>0</v>
      </c>
      <c r="AA143">
        <v>44571020</v>
      </c>
      <c r="AB143">
        <f>ROUND((AC143+AD143+AF143),2)</f>
        <v>552.97</v>
      </c>
      <c r="AC143">
        <f>ROUND((ES143),2)</f>
        <v>552.97</v>
      </c>
      <c r="AD143">
        <f>ROUND((((ET143)-(EU143))+AE143),2)</f>
        <v>0</v>
      </c>
      <c r="AE143">
        <f>ROUND((EU143),2)</f>
        <v>0</v>
      </c>
      <c r="AF143">
        <f>ROUND((EV143),2)</f>
        <v>0</v>
      </c>
      <c r="AG143">
        <f>ROUND((AP143),2)</f>
        <v>0</v>
      </c>
      <c r="AH143">
        <f>(EW143)</f>
        <v>0</v>
      </c>
      <c r="AI143">
        <f>(EX143)</f>
        <v>0</v>
      </c>
      <c r="AJ143">
        <f>(AS143)</f>
        <v>0</v>
      </c>
      <c r="AK143">
        <v>552.97</v>
      </c>
      <c r="AL143">
        <v>552.97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v>1</v>
      </c>
      <c r="BH143">
        <v>3</v>
      </c>
      <c r="BI143">
        <v>2</v>
      </c>
      <c r="BJ143" t="s">
        <v>249</v>
      </c>
      <c r="BM143">
        <v>500002</v>
      </c>
      <c r="BN143">
        <v>0</v>
      </c>
      <c r="BP143">
        <v>0</v>
      </c>
      <c r="BQ143">
        <v>12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Z143">
        <v>0</v>
      </c>
      <c r="CA143">
        <v>0</v>
      </c>
      <c r="CE143">
        <v>0</v>
      </c>
      <c r="CF143">
        <v>0</v>
      </c>
      <c r="CG143">
        <v>0</v>
      </c>
      <c r="CM143">
        <v>0</v>
      </c>
      <c r="CO143">
        <v>0</v>
      </c>
      <c r="CP143">
        <f>(P143+Q143+S143)</f>
        <v>4091.98</v>
      </c>
      <c r="CQ143">
        <f>AC143*BC143</f>
        <v>552.97</v>
      </c>
      <c r="CR143">
        <f>AD143*BB143</f>
        <v>0</v>
      </c>
      <c r="CS143">
        <f t="shared" si="123"/>
        <v>0</v>
      </c>
      <c r="CT143">
        <f t="shared" si="123"/>
        <v>0</v>
      </c>
      <c r="CU143">
        <f t="shared" si="123"/>
        <v>0</v>
      </c>
      <c r="CV143">
        <f t="shared" si="123"/>
        <v>0</v>
      </c>
      <c r="CW143">
        <f t="shared" si="123"/>
        <v>0</v>
      </c>
      <c r="CX143">
        <f t="shared" si="123"/>
        <v>0</v>
      </c>
      <c r="CY143">
        <f>(((S143+R143)*AT143)/100)</f>
        <v>0</v>
      </c>
      <c r="CZ143">
        <f>(((S143+R143)*AU143)/100)</f>
        <v>0</v>
      </c>
      <c r="DN143">
        <v>0</v>
      </c>
      <c r="DO143">
        <v>0</v>
      </c>
      <c r="DP143">
        <v>1</v>
      </c>
      <c r="DQ143">
        <v>1</v>
      </c>
      <c r="DU143">
        <v>1003</v>
      </c>
      <c r="DV143" t="s">
        <v>248</v>
      </c>
      <c r="DW143" t="s">
        <v>248</v>
      </c>
      <c r="DX143">
        <v>10</v>
      </c>
      <c r="EE143">
        <v>37975978</v>
      </c>
      <c r="EF143">
        <v>12</v>
      </c>
      <c r="EG143" t="s">
        <v>224</v>
      </c>
      <c r="EH143">
        <v>0</v>
      </c>
      <c r="EJ143">
        <v>2</v>
      </c>
      <c r="EK143">
        <v>500002</v>
      </c>
      <c r="EL143" t="s">
        <v>225</v>
      </c>
      <c r="EM143" t="s">
        <v>226</v>
      </c>
      <c r="EQ143">
        <v>0</v>
      </c>
      <c r="ER143">
        <v>552.97</v>
      </c>
      <c r="ES143">
        <v>552.97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FQ143">
        <v>0</v>
      </c>
      <c r="FR143">
        <f>ROUND(IF(AND(BH143=3,BI143=3),P143,0),2)</f>
        <v>0</v>
      </c>
      <c r="FS143">
        <v>0</v>
      </c>
      <c r="FX143">
        <v>0</v>
      </c>
      <c r="FY143">
        <v>0</v>
      </c>
      <c r="GD143">
        <v>1</v>
      </c>
      <c r="GF143">
        <v>-1503035086</v>
      </c>
      <c r="GG143">
        <v>2</v>
      </c>
      <c r="GH143">
        <v>1</v>
      </c>
      <c r="GI143">
        <v>4</v>
      </c>
      <c r="GJ143">
        <v>0</v>
      </c>
      <c r="GK143">
        <v>0</v>
      </c>
      <c r="GL143">
        <f>ROUND(IF(AND(BH143=3,BI143=3,FS143&lt;&gt;0),P143,0),2)</f>
        <v>0</v>
      </c>
      <c r="GM143">
        <f>ROUND(O143+X143+Y143,2)+GX143</f>
        <v>4091.98</v>
      </c>
      <c r="GN143">
        <f>IF(OR(BI143=0,BI143=1),ROUND(O143+X143+Y143,2),0)</f>
        <v>0</v>
      </c>
      <c r="GO143">
        <f>IF(BI143=2,ROUND(O143+X143+Y143,2),0)</f>
        <v>4091.98</v>
      </c>
      <c r="GP143">
        <f>IF(BI143=4,ROUND(O143+X143+Y143,2)+GX143,0)</f>
        <v>0</v>
      </c>
      <c r="GR143">
        <v>0</v>
      </c>
      <c r="GS143">
        <v>3</v>
      </c>
      <c r="GT143">
        <v>0</v>
      </c>
      <c r="GV143">
        <f>ROUND((GT143),2)</f>
        <v>0</v>
      </c>
      <c r="GW143">
        <v>1</v>
      </c>
      <c r="GX143">
        <f>ROUND(HC143*I143,2)</f>
        <v>0</v>
      </c>
      <c r="HA143">
        <v>0</v>
      </c>
      <c r="HB143">
        <v>0</v>
      </c>
      <c r="HC143">
        <f>GV143*GW143</f>
        <v>0</v>
      </c>
      <c r="HI143">
        <f>ROUND(R143*BS143,2)</f>
        <v>0</v>
      </c>
      <c r="HJ143">
        <f>ROUND(S143*BA143,2)</f>
        <v>0</v>
      </c>
      <c r="HK143">
        <f>ROUND((((HJ143+HI143)*AT143)/100),2)</f>
        <v>0</v>
      </c>
      <c r="HL143">
        <f>ROUND((((HJ143+HI143)*AU143)/100),2)</f>
        <v>0</v>
      </c>
      <c r="IK143">
        <v>0</v>
      </c>
    </row>
    <row r="145" spans="1:206" ht="12.75">
      <c r="A145" s="2">
        <v>51</v>
      </c>
      <c r="B145" s="2">
        <f>B137</f>
        <v>1</v>
      </c>
      <c r="C145" s="2">
        <f>A137</f>
        <v>4</v>
      </c>
      <c r="D145" s="2">
        <f>ROW(A137)</f>
        <v>137</v>
      </c>
      <c r="E145" s="2"/>
      <c r="F145" s="2" t="str">
        <f>IF(F137&lt;&gt;"",F137,"")</f>
        <v>Новый раздел</v>
      </c>
      <c r="G145" s="2" t="str">
        <f>IF(G137&lt;&gt;"",G137,"")</f>
        <v>Пересечение дороги методом ГНБ ( 1х17м, 1х20м, 1х40м)</v>
      </c>
      <c r="H145" s="2">
        <v>0</v>
      </c>
      <c r="I145" s="2"/>
      <c r="J145" s="2"/>
      <c r="K145" s="2"/>
      <c r="L145" s="2"/>
      <c r="M145" s="2"/>
      <c r="N145" s="2"/>
      <c r="O145" s="2">
        <f aca="true" t="shared" si="124" ref="O145:T145">ROUND(AB145,2)</f>
        <v>27428.11</v>
      </c>
      <c r="P145" s="2">
        <f t="shared" si="124"/>
        <v>4620.08</v>
      </c>
      <c r="Q145" s="2">
        <f t="shared" si="124"/>
        <v>22528.66</v>
      </c>
      <c r="R145" s="2">
        <f t="shared" si="124"/>
        <v>340.35</v>
      </c>
      <c r="S145" s="2">
        <f t="shared" si="124"/>
        <v>279.37</v>
      </c>
      <c r="T145" s="2">
        <f t="shared" si="124"/>
        <v>0</v>
      </c>
      <c r="U145" s="2">
        <f>AH145</f>
        <v>28.3463179</v>
      </c>
      <c r="V145" s="2">
        <f>AI145</f>
        <v>25.472738800000002</v>
      </c>
      <c r="W145" s="2">
        <f>ROUND(AJ145,2)</f>
        <v>0</v>
      </c>
      <c r="X145" s="2">
        <f>ROUND(AK145,2)</f>
        <v>656.9</v>
      </c>
      <c r="Y145" s="2">
        <f>ROUND(AL145,2)</f>
        <v>278.88</v>
      </c>
      <c r="Z145" s="2"/>
      <c r="AA145" s="2"/>
      <c r="AB145" s="2">
        <f>ROUND(SUMIF(AA141:AA143,"=44571020",O141:O143),2)</f>
        <v>27428.11</v>
      </c>
      <c r="AC145" s="2">
        <f>ROUND(SUMIF(AA141:AA143,"=44571020",P141:P143),2)</f>
        <v>4620.08</v>
      </c>
      <c r="AD145" s="2">
        <f>ROUND(SUMIF(AA141:AA143,"=44571020",Q141:Q143),2)</f>
        <v>22528.66</v>
      </c>
      <c r="AE145" s="2">
        <f>ROUND(SUMIF(AA141:AA143,"=44571020",R141:R143),2)</f>
        <v>340.35</v>
      </c>
      <c r="AF145" s="2">
        <f>ROUND(SUMIF(AA141:AA143,"=44571020",S141:S143),2)</f>
        <v>279.37</v>
      </c>
      <c r="AG145" s="2">
        <f>ROUND(SUMIF(AA141:AA143,"=44571020",T141:T143),2)</f>
        <v>0</v>
      </c>
      <c r="AH145" s="2">
        <f>SUMIF(AA141:AA143,"=44571020",U141:U143)</f>
        <v>28.3463179</v>
      </c>
      <c r="AI145" s="2">
        <f>SUMIF(AA141:AA143,"=44571020",V141:V143)</f>
        <v>25.472738800000002</v>
      </c>
      <c r="AJ145" s="2">
        <f>ROUND(SUMIF(AA141:AA143,"=44571020",W141:W143),2)</f>
        <v>0</v>
      </c>
      <c r="AK145" s="2">
        <f>ROUND(SUMIF(AA141:AA143,"=44571020",X141:X143),2)</f>
        <v>656.9</v>
      </c>
      <c r="AL145" s="2">
        <f>ROUND(SUMIF(AA141:AA143,"=44571020",Y141:Y143),2)</f>
        <v>278.88</v>
      </c>
      <c r="AM145" s="2"/>
      <c r="AN145" s="2"/>
      <c r="AO145" s="2">
        <f aca="true" t="shared" si="125" ref="AO145:BD145">ROUND(BX145,2)</f>
        <v>0</v>
      </c>
      <c r="AP145" s="2">
        <f t="shared" si="125"/>
        <v>0</v>
      </c>
      <c r="AQ145" s="2">
        <f t="shared" si="125"/>
        <v>0</v>
      </c>
      <c r="AR145" s="2">
        <f t="shared" si="125"/>
        <v>28363.89</v>
      </c>
      <c r="AS145" s="2">
        <f t="shared" si="125"/>
        <v>24271.91</v>
      </c>
      <c r="AT145" s="2">
        <f t="shared" si="125"/>
        <v>4091.98</v>
      </c>
      <c r="AU145" s="2">
        <f t="shared" si="125"/>
        <v>0</v>
      </c>
      <c r="AV145" s="2">
        <f t="shared" si="125"/>
        <v>4620.08</v>
      </c>
      <c r="AW145" s="2">
        <f t="shared" si="125"/>
        <v>4620.08</v>
      </c>
      <c r="AX145" s="2">
        <f t="shared" si="125"/>
        <v>0</v>
      </c>
      <c r="AY145" s="2">
        <f t="shared" si="125"/>
        <v>4620.08</v>
      </c>
      <c r="AZ145" s="2">
        <f t="shared" si="125"/>
        <v>0</v>
      </c>
      <c r="BA145" s="2">
        <f t="shared" si="125"/>
        <v>0</v>
      </c>
      <c r="BB145" s="2">
        <f t="shared" si="125"/>
        <v>0</v>
      </c>
      <c r="BC145" s="2">
        <f t="shared" si="125"/>
        <v>0</v>
      </c>
      <c r="BD145" s="2">
        <f t="shared" si="125"/>
        <v>0</v>
      </c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>
        <f>ROUND(SUMIF(AA141:AA143,"=44571020",FQ141:FQ143),2)</f>
        <v>0</v>
      </c>
      <c r="BY145" s="2">
        <f>ROUND(SUMIF(AA141:AA143,"=44571020",FR141:FR143),2)</f>
        <v>0</v>
      </c>
      <c r="BZ145" s="2">
        <f>ROUND(SUMIF(AA141:AA143,"=44571020",GL141:GL143),2)</f>
        <v>0</v>
      </c>
      <c r="CA145" s="2">
        <f>ROUND(SUMIF(AA141:AA143,"=44571020",GM141:GM143),2)</f>
        <v>28363.89</v>
      </c>
      <c r="CB145" s="2">
        <f>ROUND(SUMIF(AA141:AA143,"=44571020",GN141:GN143),2)</f>
        <v>24271.91</v>
      </c>
      <c r="CC145" s="2">
        <f>ROUND(SUMIF(AA141:AA143,"=44571020",GO141:GO143),2)</f>
        <v>4091.98</v>
      </c>
      <c r="CD145" s="2">
        <f>ROUND(SUMIF(AA141:AA143,"=44571020",GP141:GP143),2)</f>
        <v>0</v>
      </c>
      <c r="CE145" s="2">
        <f>AC145-BX145</f>
        <v>4620.08</v>
      </c>
      <c r="CF145" s="2">
        <f>AC145-BY145</f>
        <v>4620.08</v>
      </c>
      <c r="CG145" s="2">
        <f>BX145-BZ145</f>
        <v>0</v>
      </c>
      <c r="CH145" s="2">
        <f>AC145-BX145-BY145+BZ145</f>
        <v>4620.08</v>
      </c>
      <c r="CI145" s="2">
        <f>BY145-BZ145</f>
        <v>0</v>
      </c>
      <c r="CJ145" s="2">
        <f>ROUND(SUMIF(AA141:AA143,"=44571020",GX141:GX143),2)</f>
        <v>0</v>
      </c>
      <c r="CK145" s="2">
        <f>ROUND(SUMIF(AA141:AA143,"=44571020",GY141:GY143),2)</f>
        <v>0</v>
      </c>
      <c r="CL145" s="2">
        <f>ROUND(SUMIF(AA141:AA143,"=44571020",GZ141:GZ143),2)</f>
        <v>0</v>
      </c>
      <c r="CM145" s="2">
        <f>ROUND(SUMIF(AA141:AA143,"=44571020",HD141:HD143),2)</f>
        <v>0</v>
      </c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>
        <v>0</v>
      </c>
    </row>
    <row r="147" spans="1:28" ht="12.75">
      <c r="A147" s="4">
        <v>50</v>
      </c>
      <c r="B147" s="4">
        <v>0</v>
      </c>
      <c r="C147" s="4">
        <v>0</v>
      </c>
      <c r="D147" s="4">
        <v>1</v>
      </c>
      <c r="E147" s="4">
        <v>0</v>
      </c>
      <c r="F147" s="4">
        <f>ROUND(Source!O145,O147)</f>
        <v>27428.11</v>
      </c>
      <c r="G147" s="4" t="s">
        <v>95</v>
      </c>
      <c r="H147" s="4" t="s">
        <v>96</v>
      </c>
      <c r="I147" s="4"/>
      <c r="J147" s="4"/>
      <c r="K147" s="4">
        <v>201</v>
      </c>
      <c r="L147" s="4">
        <v>1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>
        <v>27428.11</v>
      </c>
      <c r="X147" s="4">
        <v>1</v>
      </c>
      <c r="Y147" s="4">
        <v>205796.85</v>
      </c>
      <c r="Z147" s="4"/>
      <c r="AA147" s="4"/>
      <c r="AB147" s="4"/>
    </row>
    <row r="148" spans="1:28" ht="12.75">
      <c r="A148" s="4">
        <v>50</v>
      </c>
      <c r="B148" s="4">
        <v>0</v>
      </c>
      <c r="C148" s="4">
        <v>0</v>
      </c>
      <c r="D148" s="4">
        <v>1</v>
      </c>
      <c r="E148" s="4">
        <v>202</v>
      </c>
      <c r="F148" s="4">
        <f>ROUND(Source!P145,O148)</f>
        <v>4620.08</v>
      </c>
      <c r="G148" s="4" t="s">
        <v>97</v>
      </c>
      <c r="H148" s="4" t="s">
        <v>98</v>
      </c>
      <c r="I148" s="4"/>
      <c r="J148" s="4"/>
      <c r="K148" s="4">
        <v>202</v>
      </c>
      <c r="L148" s="4">
        <v>2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>
        <v>4620.08</v>
      </c>
      <c r="X148" s="4">
        <v>1</v>
      </c>
      <c r="Y148" s="4">
        <v>0</v>
      </c>
      <c r="Z148" s="4"/>
      <c r="AA148" s="4"/>
      <c r="AB148" s="4"/>
    </row>
    <row r="149" spans="1:28" ht="12.75">
      <c r="A149" s="4">
        <v>50</v>
      </c>
      <c r="B149" s="4">
        <v>0</v>
      </c>
      <c r="C149" s="4">
        <v>0</v>
      </c>
      <c r="D149" s="4">
        <v>1</v>
      </c>
      <c r="E149" s="4">
        <v>222</v>
      </c>
      <c r="F149" s="4">
        <f>ROUND(Source!AO145,O149)</f>
        <v>0</v>
      </c>
      <c r="G149" s="4" t="s">
        <v>99</v>
      </c>
      <c r="H149" s="4" t="s">
        <v>100</v>
      </c>
      <c r="I149" s="4"/>
      <c r="J149" s="4"/>
      <c r="K149" s="4">
        <v>222</v>
      </c>
      <c r="L149" s="4">
        <v>3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>
        <v>0</v>
      </c>
      <c r="X149" s="4">
        <v>1</v>
      </c>
      <c r="Y149" s="4">
        <v>0</v>
      </c>
      <c r="Z149" s="4"/>
      <c r="AA149" s="4"/>
      <c r="AB149" s="4"/>
    </row>
    <row r="150" spans="1:28" ht="12.75">
      <c r="A150" s="4">
        <v>50</v>
      </c>
      <c r="B150" s="4">
        <v>0</v>
      </c>
      <c r="C150" s="4">
        <v>0</v>
      </c>
      <c r="D150" s="4">
        <v>1</v>
      </c>
      <c r="E150" s="4">
        <v>225</v>
      </c>
      <c r="F150" s="4">
        <f>ROUND(Source!AV145,O150)</f>
        <v>4620.08</v>
      </c>
      <c r="G150" s="4" t="s">
        <v>101</v>
      </c>
      <c r="H150" s="4" t="s">
        <v>102</v>
      </c>
      <c r="I150" s="4"/>
      <c r="J150" s="4"/>
      <c r="K150" s="4">
        <v>225</v>
      </c>
      <c r="L150" s="4">
        <v>4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>
        <v>4620.08</v>
      </c>
      <c r="X150" s="4">
        <v>1</v>
      </c>
      <c r="Y150" s="4">
        <v>0</v>
      </c>
      <c r="Z150" s="4"/>
      <c r="AA150" s="4"/>
      <c r="AB150" s="4"/>
    </row>
    <row r="151" spans="1:28" ht="12.75">
      <c r="A151" s="4">
        <v>50</v>
      </c>
      <c r="B151" s="4">
        <v>0</v>
      </c>
      <c r="C151" s="4">
        <v>0</v>
      </c>
      <c r="D151" s="4">
        <v>1</v>
      </c>
      <c r="E151" s="4">
        <v>226</v>
      </c>
      <c r="F151" s="4">
        <f>ROUND(Source!AW145,O151)</f>
        <v>4620.08</v>
      </c>
      <c r="G151" s="4" t="s">
        <v>103</v>
      </c>
      <c r="H151" s="4" t="s">
        <v>104</v>
      </c>
      <c r="I151" s="4"/>
      <c r="J151" s="4"/>
      <c r="K151" s="4">
        <v>226</v>
      </c>
      <c r="L151" s="4">
        <v>5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>
        <v>4620.08</v>
      </c>
      <c r="X151" s="4">
        <v>1</v>
      </c>
      <c r="Y151" s="4">
        <v>23793.41</v>
      </c>
      <c r="Z151" s="4"/>
      <c r="AA151" s="4"/>
      <c r="AB151" s="4"/>
    </row>
    <row r="152" spans="1:28" ht="12.75">
      <c r="A152" s="4">
        <v>50</v>
      </c>
      <c r="B152" s="4">
        <v>0</v>
      </c>
      <c r="C152" s="4">
        <v>0</v>
      </c>
      <c r="D152" s="4">
        <v>1</v>
      </c>
      <c r="E152" s="4">
        <v>227</v>
      </c>
      <c r="F152" s="4">
        <f>ROUND(Source!AX145,O152)</f>
        <v>0</v>
      </c>
      <c r="G152" s="4" t="s">
        <v>105</v>
      </c>
      <c r="H152" s="4" t="s">
        <v>106</v>
      </c>
      <c r="I152" s="4"/>
      <c r="J152" s="4"/>
      <c r="K152" s="4">
        <v>227</v>
      </c>
      <c r="L152" s="4">
        <v>6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>
        <v>0</v>
      </c>
      <c r="X152" s="4">
        <v>1</v>
      </c>
      <c r="Y152" s="4">
        <v>0</v>
      </c>
      <c r="Z152" s="4"/>
      <c r="AA152" s="4"/>
      <c r="AB152" s="4"/>
    </row>
    <row r="153" spans="1:28" ht="12.75">
      <c r="A153" s="4">
        <v>50</v>
      </c>
      <c r="B153" s="4">
        <v>0</v>
      </c>
      <c r="C153" s="4">
        <v>0</v>
      </c>
      <c r="D153" s="4">
        <v>1</v>
      </c>
      <c r="E153" s="4">
        <v>228</v>
      </c>
      <c r="F153" s="4">
        <f>ROUND(Source!AY145,O153)</f>
        <v>4620.08</v>
      </c>
      <c r="G153" s="4" t="s">
        <v>107</v>
      </c>
      <c r="H153" s="4" t="s">
        <v>108</v>
      </c>
      <c r="I153" s="4"/>
      <c r="J153" s="4"/>
      <c r="K153" s="4">
        <v>228</v>
      </c>
      <c r="L153" s="4">
        <v>7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>
        <v>4620.08</v>
      </c>
      <c r="X153" s="4">
        <v>1</v>
      </c>
      <c r="Y153" s="4">
        <v>23793.41</v>
      </c>
      <c r="Z153" s="4"/>
      <c r="AA153" s="4"/>
      <c r="AB153" s="4"/>
    </row>
    <row r="154" spans="1:28" ht="12.75">
      <c r="A154" s="4">
        <v>50</v>
      </c>
      <c r="B154" s="4">
        <v>0</v>
      </c>
      <c r="C154" s="4">
        <v>0</v>
      </c>
      <c r="D154" s="4">
        <v>1</v>
      </c>
      <c r="E154" s="4">
        <v>216</v>
      </c>
      <c r="F154" s="4">
        <f>ROUND(Source!AP145,O154)</f>
        <v>0</v>
      </c>
      <c r="G154" s="4" t="s">
        <v>109</v>
      </c>
      <c r="H154" s="4" t="s">
        <v>110</v>
      </c>
      <c r="I154" s="4"/>
      <c r="J154" s="4"/>
      <c r="K154" s="4">
        <v>216</v>
      </c>
      <c r="L154" s="4">
        <v>8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>
        <v>0</v>
      </c>
      <c r="X154" s="4">
        <v>1</v>
      </c>
      <c r="Y154" s="4">
        <v>0</v>
      </c>
      <c r="Z154" s="4"/>
      <c r="AA154" s="4"/>
      <c r="AB154" s="4"/>
    </row>
    <row r="155" spans="1:28" ht="12.75">
      <c r="A155" s="4">
        <v>50</v>
      </c>
      <c r="B155" s="4">
        <v>0</v>
      </c>
      <c r="C155" s="4">
        <v>0</v>
      </c>
      <c r="D155" s="4">
        <v>1</v>
      </c>
      <c r="E155" s="4">
        <v>223</v>
      </c>
      <c r="F155" s="4">
        <f>ROUND(Source!AQ145,O155)</f>
        <v>0</v>
      </c>
      <c r="G155" s="4" t="s">
        <v>111</v>
      </c>
      <c r="H155" s="4" t="s">
        <v>112</v>
      </c>
      <c r="I155" s="4"/>
      <c r="J155" s="4"/>
      <c r="K155" s="4">
        <v>223</v>
      </c>
      <c r="L155" s="4">
        <v>9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>
        <v>0</v>
      </c>
      <c r="X155" s="4">
        <v>1</v>
      </c>
      <c r="Y155" s="4">
        <v>0</v>
      </c>
      <c r="Z155" s="4"/>
      <c r="AA155" s="4"/>
      <c r="AB155" s="4"/>
    </row>
    <row r="156" spans="1:28" ht="12.75">
      <c r="A156" s="4">
        <v>50</v>
      </c>
      <c r="B156" s="4">
        <v>0</v>
      </c>
      <c r="C156" s="4">
        <v>0</v>
      </c>
      <c r="D156" s="4">
        <v>1</v>
      </c>
      <c r="E156" s="4">
        <v>229</v>
      </c>
      <c r="F156" s="4">
        <f>ROUND(Source!AZ145,O156)</f>
        <v>0</v>
      </c>
      <c r="G156" s="4" t="s">
        <v>113</v>
      </c>
      <c r="H156" s="4" t="s">
        <v>114</v>
      </c>
      <c r="I156" s="4"/>
      <c r="J156" s="4"/>
      <c r="K156" s="4">
        <v>229</v>
      </c>
      <c r="L156" s="4">
        <v>10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>
        <v>0</v>
      </c>
      <c r="X156" s="4">
        <v>1</v>
      </c>
      <c r="Y156" s="4">
        <v>0</v>
      </c>
      <c r="Z156" s="4"/>
      <c r="AA156" s="4"/>
      <c r="AB156" s="4"/>
    </row>
    <row r="157" spans="1:28" ht="12.75">
      <c r="A157" s="4">
        <v>50</v>
      </c>
      <c r="B157" s="4">
        <v>0</v>
      </c>
      <c r="C157" s="4">
        <v>0</v>
      </c>
      <c r="D157" s="4">
        <v>1</v>
      </c>
      <c r="E157" s="4">
        <v>203</v>
      </c>
      <c r="F157" s="4">
        <f>ROUND(Source!Q145,O157)</f>
        <v>22528.66</v>
      </c>
      <c r="G157" s="4" t="s">
        <v>115</v>
      </c>
      <c r="H157" s="4" t="s">
        <v>116</v>
      </c>
      <c r="I157" s="4"/>
      <c r="J157" s="4"/>
      <c r="K157" s="4">
        <v>203</v>
      </c>
      <c r="L157" s="4">
        <v>11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>
        <v>22528.66</v>
      </c>
      <c r="X157" s="4">
        <v>1</v>
      </c>
      <c r="Y157" s="4">
        <v>173921.26</v>
      </c>
      <c r="Z157" s="4"/>
      <c r="AA157" s="4"/>
      <c r="AB157" s="4"/>
    </row>
    <row r="158" spans="1:28" ht="12.75">
      <c r="A158" s="4">
        <v>50</v>
      </c>
      <c r="B158" s="4">
        <v>0</v>
      </c>
      <c r="C158" s="4">
        <v>0</v>
      </c>
      <c r="D158" s="4">
        <v>1</v>
      </c>
      <c r="E158" s="4">
        <v>231</v>
      </c>
      <c r="F158" s="4">
        <f>ROUND(Source!BB145,O158)</f>
        <v>0</v>
      </c>
      <c r="G158" s="4" t="s">
        <v>117</v>
      </c>
      <c r="H158" s="4" t="s">
        <v>118</v>
      </c>
      <c r="I158" s="4"/>
      <c r="J158" s="4"/>
      <c r="K158" s="4">
        <v>231</v>
      </c>
      <c r="L158" s="4">
        <v>12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>
        <v>0</v>
      </c>
      <c r="X158" s="4">
        <v>1</v>
      </c>
      <c r="Y158" s="4">
        <v>0</v>
      </c>
      <c r="Z158" s="4"/>
      <c r="AA158" s="4"/>
      <c r="AB158" s="4"/>
    </row>
    <row r="159" spans="1:28" ht="12.75">
      <c r="A159" s="4">
        <v>50</v>
      </c>
      <c r="B159" s="4">
        <v>0</v>
      </c>
      <c r="C159" s="4">
        <v>0</v>
      </c>
      <c r="D159" s="4">
        <v>1</v>
      </c>
      <c r="E159" s="4">
        <v>204</v>
      </c>
      <c r="F159" s="4">
        <f>ROUND(Source!R145,O159)</f>
        <v>340.35</v>
      </c>
      <c r="G159" s="4" t="s">
        <v>119</v>
      </c>
      <c r="H159" s="4" t="s">
        <v>120</v>
      </c>
      <c r="I159" s="4"/>
      <c r="J159" s="4"/>
      <c r="K159" s="4">
        <v>204</v>
      </c>
      <c r="L159" s="4">
        <v>13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>
        <v>340.35</v>
      </c>
      <c r="X159" s="4">
        <v>1</v>
      </c>
      <c r="Y159" s="4">
        <v>9846.33</v>
      </c>
      <c r="Z159" s="4"/>
      <c r="AA159" s="4"/>
      <c r="AB159" s="4"/>
    </row>
    <row r="160" spans="1:28" ht="12.75">
      <c r="A160" s="4">
        <v>50</v>
      </c>
      <c r="B160" s="4">
        <v>0</v>
      </c>
      <c r="C160" s="4">
        <v>0</v>
      </c>
      <c r="D160" s="4">
        <v>1</v>
      </c>
      <c r="E160" s="4">
        <v>205</v>
      </c>
      <c r="F160" s="4">
        <f>ROUND(Source!S145,O160)</f>
        <v>279.37</v>
      </c>
      <c r="G160" s="4" t="s">
        <v>121</v>
      </c>
      <c r="H160" s="4" t="s">
        <v>122</v>
      </c>
      <c r="I160" s="4"/>
      <c r="J160" s="4"/>
      <c r="K160" s="4">
        <v>205</v>
      </c>
      <c r="L160" s="4">
        <v>14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>
        <v>279.37</v>
      </c>
      <c r="X160" s="4">
        <v>1</v>
      </c>
      <c r="Y160" s="4">
        <v>8082.18</v>
      </c>
      <c r="Z160" s="4"/>
      <c r="AA160" s="4"/>
      <c r="AB160" s="4"/>
    </row>
    <row r="161" spans="1:28" ht="12.75">
      <c r="A161" s="4">
        <v>50</v>
      </c>
      <c r="B161" s="4">
        <v>0</v>
      </c>
      <c r="C161" s="4">
        <v>0</v>
      </c>
      <c r="D161" s="4">
        <v>1</v>
      </c>
      <c r="E161" s="4">
        <v>232</v>
      </c>
      <c r="F161" s="4">
        <f>ROUND(Source!BC145,O161)</f>
        <v>0</v>
      </c>
      <c r="G161" s="4" t="s">
        <v>123</v>
      </c>
      <c r="H161" s="4" t="s">
        <v>124</v>
      </c>
      <c r="I161" s="4"/>
      <c r="J161" s="4"/>
      <c r="K161" s="4">
        <v>232</v>
      </c>
      <c r="L161" s="4">
        <v>15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>
        <v>0</v>
      </c>
      <c r="X161" s="4">
        <v>1</v>
      </c>
      <c r="Y161" s="4">
        <v>0</v>
      </c>
      <c r="Z161" s="4"/>
      <c r="AA161" s="4"/>
      <c r="AB161" s="4"/>
    </row>
    <row r="162" spans="1:28" ht="12.75">
      <c r="A162" s="4">
        <v>50</v>
      </c>
      <c r="B162" s="4">
        <v>0</v>
      </c>
      <c r="C162" s="4">
        <v>0</v>
      </c>
      <c r="D162" s="4">
        <v>1</v>
      </c>
      <c r="E162" s="4">
        <v>214</v>
      </c>
      <c r="F162" s="4">
        <f>ROUND(Source!AS145,O162)</f>
        <v>24271.91</v>
      </c>
      <c r="G162" s="4" t="s">
        <v>125</v>
      </c>
      <c r="H162" s="4" t="s">
        <v>126</v>
      </c>
      <c r="I162" s="4"/>
      <c r="J162" s="4"/>
      <c r="K162" s="4">
        <v>214</v>
      </c>
      <c r="L162" s="4">
        <v>16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>
        <v>24271.91</v>
      </c>
      <c r="X162" s="4">
        <v>1</v>
      </c>
      <c r="Y162" s="4">
        <v>211795.21000000002</v>
      </c>
      <c r="Z162" s="4"/>
      <c r="AA162" s="4"/>
      <c r="AB162" s="4"/>
    </row>
    <row r="163" spans="1:28" ht="12.75">
      <c r="A163" s="4">
        <v>50</v>
      </c>
      <c r="B163" s="4">
        <v>0</v>
      </c>
      <c r="C163" s="4">
        <v>0</v>
      </c>
      <c r="D163" s="4">
        <v>1</v>
      </c>
      <c r="E163" s="4">
        <v>215</v>
      </c>
      <c r="F163" s="4">
        <f>ROUND(Source!AT145,O163)</f>
        <v>4091.98</v>
      </c>
      <c r="G163" s="4" t="s">
        <v>127</v>
      </c>
      <c r="H163" s="4" t="s">
        <v>128</v>
      </c>
      <c r="I163" s="4"/>
      <c r="J163" s="4"/>
      <c r="K163" s="4">
        <v>215</v>
      </c>
      <c r="L163" s="4">
        <v>17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>
        <v>4091.98</v>
      </c>
      <c r="X163" s="4">
        <v>1</v>
      </c>
      <c r="Y163" s="4">
        <v>21073.7</v>
      </c>
      <c r="Z163" s="4"/>
      <c r="AA163" s="4"/>
      <c r="AB163" s="4"/>
    </row>
    <row r="164" spans="1:28" ht="12.75">
      <c r="A164" s="4">
        <v>50</v>
      </c>
      <c r="B164" s="4">
        <v>0</v>
      </c>
      <c r="C164" s="4">
        <v>0</v>
      </c>
      <c r="D164" s="4">
        <v>1</v>
      </c>
      <c r="E164" s="4">
        <v>217</v>
      </c>
      <c r="F164" s="4">
        <f>ROUND(Source!AU145,O164)</f>
        <v>0</v>
      </c>
      <c r="G164" s="4" t="s">
        <v>129</v>
      </c>
      <c r="H164" s="4" t="s">
        <v>130</v>
      </c>
      <c r="I164" s="4"/>
      <c r="J164" s="4"/>
      <c r="K164" s="4">
        <v>217</v>
      </c>
      <c r="L164" s="4">
        <v>18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>
        <v>0</v>
      </c>
      <c r="X164" s="4">
        <v>1</v>
      </c>
      <c r="Y164" s="4">
        <v>0</v>
      </c>
      <c r="Z164" s="4"/>
      <c r="AA164" s="4"/>
      <c r="AB164" s="4"/>
    </row>
    <row r="165" spans="1:28" ht="12.75">
      <c r="A165" s="4">
        <v>50</v>
      </c>
      <c r="B165" s="4">
        <v>0</v>
      </c>
      <c r="C165" s="4">
        <v>0</v>
      </c>
      <c r="D165" s="4">
        <v>1</v>
      </c>
      <c r="E165" s="4">
        <v>230</v>
      </c>
      <c r="F165" s="4">
        <f>ROUND(Source!BA145,O165)</f>
        <v>0</v>
      </c>
      <c r="G165" s="4" t="s">
        <v>131</v>
      </c>
      <c r="H165" s="4" t="s">
        <v>132</v>
      </c>
      <c r="I165" s="4"/>
      <c r="J165" s="4"/>
      <c r="K165" s="4">
        <v>230</v>
      </c>
      <c r="L165" s="4">
        <v>19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>
        <v>0</v>
      </c>
      <c r="X165" s="4">
        <v>1</v>
      </c>
      <c r="Y165" s="4">
        <v>0</v>
      </c>
      <c r="Z165" s="4"/>
      <c r="AA165" s="4"/>
      <c r="AB165" s="4"/>
    </row>
    <row r="166" spans="1:28" ht="12.75">
      <c r="A166" s="4">
        <v>50</v>
      </c>
      <c r="B166" s="4">
        <v>0</v>
      </c>
      <c r="C166" s="4">
        <v>0</v>
      </c>
      <c r="D166" s="4">
        <v>1</v>
      </c>
      <c r="E166" s="4">
        <v>206</v>
      </c>
      <c r="F166" s="4">
        <f>ROUND(Source!T145,O166)</f>
        <v>0</v>
      </c>
      <c r="G166" s="4" t="s">
        <v>133</v>
      </c>
      <c r="H166" s="4" t="s">
        <v>134</v>
      </c>
      <c r="I166" s="4"/>
      <c r="J166" s="4"/>
      <c r="K166" s="4">
        <v>206</v>
      </c>
      <c r="L166" s="4">
        <v>20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>
        <v>0</v>
      </c>
      <c r="X166" s="4">
        <v>1</v>
      </c>
      <c r="Y166" s="4">
        <v>0</v>
      </c>
      <c r="Z166" s="4"/>
      <c r="AA166" s="4"/>
      <c r="AB166" s="4"/>
    </row>
    <row r="167" spans="1:28" ht="12.75">
      <c r="A167" s="4">
        <v>50</v>
      </c>
      <c r="B167" s="4">
        <v>0</v>
      </c>
      <c r="C167" s="4">
        <v>0</v>
      </c>
      <c r="D167" s="4">
        <v>1</v>
      </c>
      <c r="E167" s="4">
        <v>207</v>
      </c>
      <c r="F167" s="4">
        <f>Source!U145</f>
        <v>28.3463179</v>
      </c>
      <c r="G167" s="4" t="s">
        <v>135</v>
      </c>
      <c r="H167" s="4" t="s">
        <v>136</v>
      </c>
      <c r="I167" s="4"/>
      <c r="J167" s="4"/>
      <c r="K167" s="4">
        <v>207</v>
      </c>
      <c r="L167" s="4">
        <v>21</v>
      </c>
      <c r="M167" s="4">
        <v>3</v>
      </c>
      <c r="N167" s="4" t="s">
        <v>3</v>
      </c>
      <c r="O167" s="4">
        <v>-1</v>
      </c>
      <c r="P167" s="4"/>
      <c r="Q167" s="4"/>
      <c r="R167" s="4"/>
      <c r="S167" s="4"/>
      <c r="T167" s="4"/>
      <c r="U167" s="4"/>
      <c r="V167" s="4"/>
      <c r="W167" s="4">
        <v>28.3463179</v>
      </c>
      <c r="X167" s="4">
        <v>1</v>
      </c>
      <c r="Y167" s="4">
        <v>28.3463179</v>
      </c>
      <c r="Z167" s="4"/>
      <c r="AA167" s="4"/>
      <c r="AB167" s="4"/>
    </row>
    <row r="168" spans="1:28" ht="12.75">
      <c r="A168" s="4">
        <v>50</v>
      </c>
      <c r="B168" s="4">
        <v>0</v>
      </c>
      <c r="C168" s="4">
        <v>0</v>
      </c>
      <c r="D168" s="4">
        <v>1</v>
      </c>
      <c r="E168" s="4">
        <v>208</v>
      </c>
      <c r="F168" s="4">
        <f>Source!V145</f>
        <v>25.472738800000002</v>
      </c>
      <c r="G168" s="4" t="s">
        <v>137</v>
      </c>
      <c r="H168" s="4" t="s">
        <v>138</v>
      </c>
      <c r="I168" s="4"/>
      <c r="J168" s="4"/>
      <c r="K168" s="4">
        <v>208</v>
      </c>
      <c r="L168" s="4">
        <v>22</v>
      </c>
      <c r="M168" s="4">
        <v>3</v>
      </c>
      <c r="N168" s="4" t="s">
        <v>3</v>
      </c>
      <c r="O168" s="4">
        <v>-1</v>
      </c>
      <c r="P168" s="4"/>
      <c r="Q168" s="4"/>
      <c r="R168" s="4"/>
      <c r="S168" s="4"/>
      <c r="T168" s="4"/>
      <c r="U168" s="4"/>
      <c r="V168" s="4"/>
      <c r="W168" s="4">
        <v>25.4727388</v>
      </c>
      <c r="X168" s="4">
        <v>1</v>
      </c>
      <c r="Y168" s="4">
        <v>25.4727388</v>
      </c>
      <c r="Z168" s="4"/>
      <c r="AA168" s="4"/>
      <c r="AB168" s="4"/>
    </row>
    <row r="169" spans="1:28" ht="12.75">
      <c r="A169" s="4">
        <v>50</v>
      </c>
      <c r="B169" s="4">
        <v>0</v>
      </c>
      <c r="C169" s="4">
        <v>0</v>
      </c>
      <c r="D169" s="4">
        <v>1</v>
      </c>
      <c r="E169" s="4">
        <v>209</v>
      </c>
      <c r="F169" s="4">
        <f>ROUND(Source!W145,O169)</f>
        <v>0</v>
      </c>
      <c r="G169" s="4" t="s">
        <v>139</v>
      </c>
      <c r="H169" s="4" t="s">
        <v>140</v>
      </c>
      <c r="I169" s="4"/>
      <c r="J169" s="4"/>
      <c r="K169" s="4">
        <v>209</v>
      </c>
      <c r="L169" s="4">
        <v>23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>
        <v>0</v>
      </c>
      <c r="X169" s="4">
        <v>1</v>
      </c>
      <c r="Y169" s="4">
        <v>0</v>
      </c>
      <c r="Z169" s="4"/>
      <c r="AA169" s="4"/>
      <c r="AB169" s="4"/>
    </row>
    <row r="170" spans="1:28" ht="12.75">
      <c r="A170" s="4">
        <v>50</v>
      </c>
      <c r="B170" s="4">
        <v>0</v>
      </c>
      <c r="C170" s="4">
        <v>0</v>
      </c>
      <c r="D170" s="4">
        <v>1</v>
      </c>
      <c r="E170" s="4">
        <v>233</v>
      </c>
      <c r="F170" s="4">
        <f>ROUND(Source!BD145,O170)</f>
        <v>0</v>
      </c>
      <c r="G170" s="4" t="s">
        <v>141</v>
      </c>
      <c r="H170" s="4" t="s">
        <v>142</v>
      </c>
      <c r="I170" s="4"/>
      <c r="J170" s="4"/>
      <c r="K170" s="4">
        <v>233</v>
      </c>
      <c r="L170" s="4">
        <v>24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>
        <v>0</v>
      </c>
      <c r="X170" s="4">
        <v>1</v>
      </c>
      <c r="Y170" s="4">
        <v>0</v>
      </c>
      <c r="Z170" s="4"/>
      <c r="AA170" s="4"/>
      <c r="AB170" s="4"/>
    </row>
    <row r="171" spans="1:28" ht="12.75">
      <c r="A171" s="4">
        <v>50</v>
      </c>
      <c r="B171" s="4">
        <v>0</v>
      </c>
      <c r="C171" s="4">
        <v>0</v>
      </c>
      <c r="D171" s="4">
        <v>1</v>
      </c>
      <c r="E171" s="4">
        <v>0</v>
      </c>
      <c r="F171" s="4">
        <f>ROUND(Source!X145,O171)</f>
        <v>656.9</v>
      </c>
      <c r="G171" s="4" t="s">
        <v>143</v>
      </c>
      <c r="H171" s="4" t="s">
        <v>144</v>
      </c>
      <c r="I171" s="4"/>
      <c r="J171" s="4"/>
      <c r="K171" s="4">
        <v>210</v>
      </c>
      <c r="L171" s="4">
        <v>25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>
        <v>656.9</v>
      </c>
      <c r="X171" s="4">
        <v>1</v>
      </c>
      <c r="Y171" s="4">
        <v>19004.22</v>
      </c>
      <c r="Z171" s="4"/>
      <c r="AA171" s="4"/>
      <c r="AB171" s="4"/>
    </row>
    <row r="172" spans="1:28" ht="12.75">
      <c r="A172" s="4">
        <v>50</v>
      </c>
      <c r="B172" s="4">
        <v>0</v>
      </c>
      <c r="C172" s="4">
        <v>0</v>
      </c>
      <c r="D172" s="4">
        <v>1</v>
      </c>
      <c r="E172" s="4">
        <v>0</v>
      </c>
      <c r="F172" s="4">
        <f>ROUND(Source!Y145,O172)</f>
        <v>278.88</v>
      </c>
      <c r="G172" s="4" t="s">
        <v>145</v>
      </c>
      <c r="H172" s="4" t="s">
        <v>146</v>
      </c>
      <c r="I172" s="4"/>
      <c r="J172" s="4"/>
      <c r="K172" s="4">
        <v>211</v>
      </c>
      <c r="L172" s="4">
        <v>26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>
        <v>278.88</v>
      </c>
      <c r="X172" s="4">
        <v>1</v>
      </c>
      <c r="Y172" s="4">
        <v>8067.83</v>
      </c>
      <c r="Z172" s="4"/>
      <c r="AA172" s="4"/>
      <c r="AB172" s="4"/>
    </row>
    <row r="173" spans="1:28" ht="12.75">
      <c r="A173" s="4">
        <v>50</v>
      </c>
      <c r="B173" s="4">
        <v>0</v>
      </c>
      <c r="C173" s="4">
        <v>0</v>
      </c>
      <c r="D173" s="4">
        <v>1</v>
      </c>
      <c r="E173" s="4">
        <v>224</v>
      </c>
      <c r="F173" s="4">
        <f>ROUND(Source!AR145,O173)</f>
        <v>28363.89</v>
      </c>
      <c r="G173" s="4" t="s">
        <v>147</v>
      </c>
      <c r="H173" s="4" t="s">
        <v>148</v>
      </c>
      <c r="I173" s="4"/>
      <c r="J173" s="4"/>
      <c r="K173" s="4">
        <v>224</v>
      </c>
      <c r="L173" s="4">
        <v>27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>
        <v>28363.890000000003</v>
      </c>
      <c r="X173" s="4">
        <v>1</v>
      </c>
      <c r="Y173" s="4">
        <v>232868.9</v>
      </c>
      <c r="Z173" s="4"/>
      <c r="AA173" s="4"/>
      <c r="AB173" s="4"/>
    </row>
    <row r="174" spans="1:28" ht="12.75">
      <c r="A174" s="4">
        <v>50</v>
      </c>
      <c r="B174" s="4">
        <v>1</v>
      </c>
      <c r="C174" s="4">
        <v>0</v>
      </c>
      <c r="D174" s="4">
        <v>2</v>
      </c>
      <c r="E174" s="4">
        <v>201</v>
      </c>
      <c r="F174" s="4">
        <f>ROUND(ROUND(F147,0),O174)</f>
        <v>27428</v>
      </c>
      <c r="G174" s="4" t="s">
        <v>149</v>
      </c>
      <c r="H174" s="4" t="s">
        <v>150</v>
      </c>
      <c r="I174" s="4"/>
      <c r="J174" s="4"/>
      <c r="K174" s="4">
        <v>212</v>
      </c>
      <c r="L174" s="4">
        <v>28</v>
      </c>
      <c r="M174" s="4">
        <v>0</v>
      </c>
      <c r="N174" s="4" t="s">
        <v>3</v>
      </c>
      <c r="O174" s="4">
        <v>0</v>
      </c>
      <c r="P174" s="4"/>
      <c r="Q174" s="4"/>
      <c r="R174" s="4"/>
      <c r="S174" s="4"/>
      <c r="T174" s="4"/>
      <c r="U174" s="4"/>
      <c r="V174" s="4"/>
      <c r="W174" s="4">
        <v>27428</v>
      </c>
      <c r="X174" s="4">
        <v>1</v>
      </c>
      <c r="Y174" s="4">
        <v>205797</v>
      </c>
      <c r="Z174" s="4"/>
      <c r="AA174" s="4"/>
      <c r="AB174" s="4"/>
    </row>
    <row r="175" spans="1:28" ht="12.75">
      <c r="A175" s="4">
        <v>50</v>
      </c>
      <c r="B175" s="4">
        <v>1</v>
      </c>
      <c r="C175" s="4">
        <v>0</v>
      </c>
      <c r="D175" s="4">
        <v>2</v>
      </c>
      <c r="E175" s="4">
        <v>210</v>
      </c>
      <c r="F175" s="4">
        <f>ROUND(ROUND(F171,0),O175)</f>
        <v>657</v>
      </c>
      <c r="G175" s="4" t="s">
        <v>151</v>
      </c>
      <c r="H175" s="4" t="s">
        <v>144</v>
      </c>
      <c r="I175" s="4"/>
      <c r="J175" s="4"/>
      <c r="K175" s="4">
        <v>212</v>
      </c>
      <c r="L175" s="4">
        <v>29</v>
      </c>
      <c r="M175" s="4">
        <v>0</v>
      </c>
      <c r="N175" s="4" t="s">
        <v>3</v>
      </c>
      <c r="O175" s="4">
        <v>0</v>
      </c>
      <c r="P175" s="4"/>
      <c r="Q175" s="4"/>
      <c r="R175" s="4"/>
      <c r="S175" s="4"/>
      <c r="T175" s="4"/>
      <c r="U175" s="4"/>
      <c r="V175" s="4"/>
      <c r="W175" s="4">
        <v>657</v>
      </c>
      <c r="X175" s="4">
        <v>1</v>
      </c>
      <c r="Y175" s="4">
        <v>19004</v>
      </c>
      <c r="Z175" s="4"/>
      <c r="AA175" s="4"/>
      <c r="AB175" s="4"/>
    </row>
    <row r="176" spans="1:28" ht="12.75">
      <c r="A176" s="4">
        <v>50</v>
      </c>
      <c r="B176" s="4">
        <v>1</v>
      </c>
      <c r="C176" s="4">
        <v>0</v>
      </c>
      <c r="D176" s="4">
        <v>2</v>
      </c>
      <c r="E176" s="4">
        <v>211</v>
      </c>
      <c r="F176" s="4">
        <f>ROUND(ROUND(F172,0),O176)</f>
        <v>279</v>
      </c>
      <c r="G176" s="4" t="s">
        <v>152</v>
      </c>
      <c r="H176" s="4" t="s">
        <v>146</v>
      </c>
      <c r="I176" s="4"/>
      <c r="J176" s="4"/>
      <c r="K176" s="4">
        <v>212</v>
      </c>
      <c r="L176" s="4">
        <v>30</v>
      </c>
      <c r="M176" s="4">
        <v>0</v>
      </c>
      <c r="N176" s="4" t="s">
        <v>3</v>
      </c>
      <c r="O176" s="4">
        <v>0</v>
      </c>
      <c r="P176" s="4"/>
      <c r="Q176" s="4"/>
      <c r="R176" s="4"/>
      <c r="S176" s="4"/>
      <c r="T176" s="4"/>
      <c r="U176" s="4"/>
      <c r="V176" s="4"/>
      <c r="W176" s="4">
        <v>279</v>
      </c>
      <c r="X176" s="4">
        <v>1</v>
      </c>
      <c r="Y176" s="4">
        <v>8068</v>
      </c>
      <c r="Z176" s="4"/>
      <c r="AA176" s="4"/>
      <c r="AB176" s="4"/>
    </row>
    <row r="177" spans="1:28" ht="12.75">
      <c r="A177" s="4">
        <v>50</v>
      </c>
      <c r="B177" s="4">
        <v>1</v>
      </c>
      <c r="C177" s="4">
        <v>0</v>
      </c>
      <c r="D177" s="4">
        <v>2</v>
      </c>
      <c r="E177" s="4">
        <v>213</v>
      </c>
      <c r="F177" s="4">
        <f>ROUND(F174+F175+F176,O177)</f>
        <v>28364</v>
      </c>
      <c r="G177" s="4" t="s">
        <v>153</v>
      </c>
      <c r="H177" s="4" t="s">
        <v>154</v>
      </c>
      <c r="I177" s="4"/>
      <c r="J177" s="4"/>
      <c r="K177" s="4">
        <v>212</v>
      </c>
      <c r="L177" s="4">
        <v>31</v>
      </c>
      <c r="M177" s="4">
        <v>0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>
        <v>28364</v>
      </c>
      <c r="X177" s="4">
        <v>1</v>
      </c>
      <c r="Y177" s="4">
        <v>232869</v>
      </c>
      <c r="Z177" s="4"/>
      <c r="AA177" s="4"/>
      <c r="AB177" s="4"/>
    </row>
    <row r="178" spans="1:28" ht="12.75">
      <c r="A178" s="4">
        <v>50</v>
      </c>
      <c r="B178" s="4">
        <v>1</v>
      </c>
      <c r="C178" s="4">
        <v>0</v>
      </c>
      <c r="D178" s="4">
        <v>2</v>
      </c>
      <c r="E178" s="4">
        <v>0</v>
      </c>
      <c r="F178" s="4">
        <v>24271.91</v>
      </c>
      <c r="G178" s="4" t="s">
        <v>155</v>
      </c>
      <c r="H178" s="4" t="s">
        <v>156</v>
      </c>
      <c r="I178" s="4"/>
      <c r="J178" s="4"/>
      <c r="K178" s="4">
        <v>212</v>
      </c>
      <c r="L178" s="4">
        <v>32</v>
      </c>
      <c r="M178" s="4">
        <v>1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>
        <v>24271.91</v>
      </c>
      <c r="X178" s="4">
        <v>1</v>
      </c>
      <c r="Y178" s="4">
        <v>24271.91</v>
      </c>
      <c r="Z178" s="4"/>
      <c r="AA178" s="4"/>
      <c r="AB178" s="4"/>
    </row>
    <row r="179" spans="1:28" ht="12.75">
      <c r="A179" s="4">
        <v>50</v>
      </c>
      <c r="B179" s="4">
        <v>1</v>
      </c>
      <c r="C179" s="4">
        <v>0</v>
      </c>
      <c r="D179" s="4">
        <v>2</v>
      </c>
      <c r="E179" s="4">
        <v>0</v>
      </c>
      <c r="F179" s="4">
        <v>4091.98</v>
      </c>
      <c r="G179" s="4" t="s">
        <v>157</v>
      </c>
      <c r="H179" s="4" t="s">
        <v>158</v>
      </c>
      <c r="I179" s="4"/>
      <c r="J179" s="4"/>
      <c r="K179" s="4">
        <v>212</v>
      </c>
      <c r="L179" s="4">
        <v>33</v>
      </c>
      <c r="M179" s="4">
        <v>1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>
        <v>4091.98</v>
      </c>
      <c r="X179" s="4">
        <v>1</v>
      </c>
      <c r="Y179" s="4">
        <v>4091.98</v>
      </c>
      <c r="Z179" s="4"/>
      <c r="AA179" s="4"/>
      <c r="AB179" s="4"/>
    </row>
    <row r="180" spans="1:28" ht="12.75">
      <c r="A180" s="4">
        <v>50</v>
      </c>
      <c r="B180" s="4">
        <v>0</v>
      </c>
      <c r="C180" s="4">
        <v>0</v>
      </c>
      <c r="D180" s="4">
        <v>2</v>
      </c>
      <c r="E180" s="4">
        <v>0</v>
      </c>
      <c r="F180" s="4">
        <v>0</v>
      </c>
      <c r="G180" s="4" t="s">
        <v>159</v>
      </c>
      <c r="H180" s="4" t="s">
        <v>160</v>
      </c>
      <c r="I180" s="4"/>
      <c r="J180" s="4"/>
      <c r="K180" s="4">
        <v>212</v>
      </c>
      <c r="L180" s="4">
        <v>34</v>
      </c>
      <c r="M180" s="4">
        <v>1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>
        <v>0</v>
      </c>
      <c r="X180" s="4">
        <v>1</v>
      </c>
      <c r="Y180" s="4">
        <v>0</v>
      </c>
      <c r="Z180" s="4"/>
      <c r="AA180" s="4"/>
      <c r="AB180" s="4"/>
    </row>
    <row r="181" spans="1:28" ht="12.75">
      <c r="A181" s="4">
        <v>50</v>
      </c>
      <c r="B181" s="4">
        <v>0</v>
      </c>
      <c r="C181" s="4">
        <v>0</v>
      </c>
      <c r="D181" s="4">
        <v>2</v>
      </c>
      <c r="E181" s="4">
        <v>0</v>
      </c>
      <c r="F181" s="4">
        <v>0</v>
      </c>
      <c r="G181" s="4" t="s">
        <v>161</v>
      </c>
      <c r="H181" s="4" t="s">
        <v>162</v>
      </c>
      <c r="I181" s="4"/>
      <c r="J181" s="4"/>
      <c r="K181" s="4">
        <v>212</v>
      </c>
      <c r="L181" s="4">
        <v>35</v>
      </c>
      <c r="M181" s="4">
        <v>1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>
        <v>0</v>
      </c>
      <c r="X181" s="4">
        <v>1</v>
      </c>
      <c r="Y181" s="4">
        <v>0</v>
      </c>
      <c r="Z181" s="4"/>
      <c r="AA181" s="4"/>
      <c r="AB181" s="4"/>
    </row>
    <row r="182" spans="1:28" ht="12.75">
      <c r="A182" s="4">
        <v>50</v>
      </c>
      <c r="B182" s="4">
        <f>IF(Source!F182=0,1,0)</f>
        <v>1</v>
      </c>
      <c r="C182" s="4">
        <v>0</v>
      </c>
      <c r="D182" s="4">
        <v>2</v>
      </c>
      <c r="E182" s="4">
        <v>0</v>
      </c>
      <c r="F182" s="4">
        <f>ROUND(ROUND((F177-F178-F179-F180-F181),0),O182)</f>
        <v>0</v>
      </c>
      <c r="G182" s="4" t="s">
        <v>163</v>
      </c>
      <c r="H182" s="4" t="s">
        <v>164</v>
      </c>
      <c r="I182" s="4"/>
      <c r="J182" s="4"/>
      <c r="K182" s="4">
        <v>212</v>
      </c>
      <c r="L182" s="4">
        <v>36</v>
      </c>
      <c r="M182" s="4">
        <v>2</v>
      </c>
      <c r="N182" s="4" t="s">
        <v>3</v>
      </c>
      <c r="O182" s="4">
        <v>0</v>
      </c>
      <c r="P182" s="4"/>
      <c r="Q182" s="4"/>
      <c r="R182" s="4"/>
      <c r="S182" s="4"/>
      <c r="T182" s="4"/>
      <c r="U182" s="4"/>
      <c r="V182" s="4"/>
      <c r="W182" s="4">
        <v>0</v>
      </c>
      <c r="X182" s="4">
        <v>1</v>
      </c>
      <c r="Y182" s="4">
        <v>204505</v>
      </c>
      <c r="Z182" s="4"/>
      <c r="AA182" s="4"/>
      <c r="AB182" s="4"/>
    </row>
    <row r="184" spans="1:88" ht="12.75">
      <c r="A184" s="1">
        <v>4</v>
      </c>
      <c r="B184" s="1">
        <v>1</v>
      </c>
      <c r="C184" s="1"/>
      <c r="D184" s="1">
        <f>ROW(A206)</f>
        <v>206</v>
      </c>
      <c r="E184" s="1"/>
      <c r="F184" s="1" t="s">
        <v>15</v>
      </c>
      <c r="G184" s="1" t="s">
        <v>250</v>
      </c>
      <c r="H184" s="1" t="s">
        <v>3</v>
      </c>
      <c r="I184" s="1">
        <v>0</v>
      </c>
      <c r="J184" s="1"/>
      <c r="K184" s="1">
        <v>0</v>
      </c>
      <c r="L184" s="1"/>
      <c r="M184" s="1" t="s">
        <v>3</v>
      </c>
      <c r="N184" s="1"/>
      <c r="O184" s="1"/>
      <c r="P184" s="1"/>
      <c r="Q184" s="1"/>
      <c r="R184" s="1"/>
      <c r="S184" s="1">
        <v>44571021</v>
      </c>
      <c r="T184" s="1"/>
      <c r="U184" s="1" t="s">
        <v>3</v>
      </c>
      <c r="V184" s="1">
        <v>0</v>
      </c>
      <c r="W184" s="1"/>
      <c r="X184" s="1"/>
      <c r="Y184" s="1"/>
      <c r="Z184" s="1"/>
      <c r="AA184" s="1"/>
      <c r="AB184" s="1" t="s">
        <v>3</v>
      </c>
      <c r="AC184" s="1" t="s">
        <v>3</v>
      </c>
      <c r="AD184" s="1" t="s">
        <v>3</v>
      </c>
      <c r="AE184" s="1" t="s">
        <v>3</v>
      </c>
      <c r="AF184" s="1" t="s">
        <v>3</v>
      </c>
      <c r="AG184" s="1" t="s">
        <v>3</v>
      </c>
      <c r="AH184" s="1"/>
      <c r="AI184" s="1"/>
      <c r="AJ184" s="1"/>
      <c r="AK184" s="1"/>
      <c r="AL184" s="1"/>
      <c r="AM184" s="1"/>
      <c r="AN184" s="1"/>
      <c r="AO184" s="1"/>
      <c r="AP184" s="1" t="s">
        <v>3</v>
      </c>
      <c r="AQ184" s="1" t="s">
        <v>3</v>
      </c>
      <c r="AR184" s="1" t="s">
        <v>3</v>
      </c>
      <c r="AS184" s="1"/>
      <c r="AT184" s="1"/>
      <c r="AU184" s="1"/>
      <c r="AV184" s="1"/>
      <c r="AW184" s="1"/>
      <c r="AX184" s="1"/>
      <c r="AY184" s="1"/>
      <c r="AZ184" s="1" t="s">
        <v>3</v>
      </c>
      <c r="BA184" s="1"/>
      <c r="BB184" s="1" t="s">
        <v>3</v>
      </c>
      <c r="BC184" s="1" t="s">
        <v>3</v>
      </c>
      <c r="BD184" s="1" t="s">
        <v>3</v>
      </c>
      <c r="BE184" s="1" t="s">
        <v>3</v>
      </c>
      <c r="BF184" s="1" t="s">
        <v>3</v>
      </c>
      <c r="BG184" s="1" t="s">
        <v>3</v>
      </c>
      <c r="BH184" s="1" t="s">
        <v>3</v>
      </c>
      <c r="BI184" s="1" t="s">
        <v>3</v>
      </c>
      <c r="BJ184" s="1" t="s">
        <v>3</v>
      </c>
      <c r="BK184" s="1" t="s">
        <v>3</v>
      </c>
      <c r="BL184" s="1" t="s">
        <v>3</v>
      </c>
      <c r="BM184" s="1" t="s">
        <v>3</v>
      </c>
      <c r="BN184" s="1" t="s">
        <v>3</v>
      </c>
      <c r="BO184" s="1" t="s">
        <v>3</v>
      </c>
      <c r="BP184" s="1" t="s">
        <v>3</v>
      </c>
      <c r="BQ184" s="1"/>
      <c r="BR184" s="1"/>
      <c r="BS184" s="1"/>
      <c r="BT184" s="1"/>
      <c r="BU184" s="1"/>
      <c r="BV184" s="1"/>
      <c r="BW184" s="1"/>
      <c r="BX184" s="1">
        <v>0</v>
      </c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>
        <v>0</v>
      </c>
    </row>
    <row r="186" spans="1:206" ht="12.75">
      <c r="A186" s="2">
        <v>52</v>
      </c>
      <c r="B186" s="2">
        <f aca="true" t="shared" si="126" ref="B186:G186">B206</f>
        <v>1</v>
      </c>
      <c r="C186" s="2">
        <f t="shared" si="126"/>
        <v>4</v>
      </c>
      <c r="D186" s="2">
        <f t="shared" si="126"/>
        <v>184</v>
      </c>
      <c r="E186" s="2">
        <f t="shared" si="126"/>
        <v>0</v>
      </c>
      <c r="F186" s="2" t="str">
        <f t="shared" si="126"/>
        <v>Новый раздел</v>
      </c>
      <c r="G186" s="2" t="str">
        <f t="shared" si="126"/>
        <v>Вскрытие и восстановление асфальта</v>
      </c>
      <c r="H186" s="2"/>
      <c r="I186" s="2"/>
      <c r="J186" s="2"/>
      <c r="K186" s="2"/>
      <c r="L186" s="2"/>
      <c r="M186" s="2"/>
      <c r="N186" s="2"/>
      <c r="O186" s="2">
        <f aca="true" t="shared" si="127" ref="O186:AT186">O206</f>
        <v>3597.94</v>
      </c>
      <c r="P186" s="2">
        <f t="shared" si="127"/>
        <v>3314.39</v>
      </c>
      <c r="Q186" s="2">
        <f t="shared" si="127"/>
        <v>268.43</v>
      </c>
      <c r="R186" s="2">
        <f t="shared" si="127"/>
        <v>12.81</v>
      </c>
      <c r="S186" s="2">
        <f t="shared" si="127"/>
        <v>15.12</v>
      </c>
      <c r="T186" s="2">
        <f t="shared" si="127"/>
        <v>0</v>
      </c>
      <c r="U186" s="2">
        <f t="shared" si="127"/>
        <v>2.85434886</v>
      </c>
      <c r="V186" s="2">
        <f t="shared" si="127"/>
        <v>1.57793736</v>
      </c>
      <c r="W186" s="2">
        <f t="shared" si="127"/>
        <v>0</v>
      </c>
      <c r="X186" s="2">
        <f t="shared" si="127"/>
        <v>41.06</v>
      </c>
      <c r="Y186" s="2">
        <f t="shared" si="127"/>
        <v>32.14</v>
      </c>
      <c r="Z186" s="2">
        <f t="shared" si="127"/>
        <v>0</v>
      </c>
      <c r="AA186" s="2">
        <f t="shared" si="127"/>
        <v>0</v>
      </c>
      <c r="AB186" s="2">
        <f t="shared" si="127"/>
        <v>3597.94</v>
      </c>
      <c r="AC186" s="2">
        <f t="shared" si="127"/>
        <v>3314.39</v>
      </c>
      <c r="AD186" s="2">
        <f t="shared" si="127"/>
        <v>268.43</v>
      </c>
      <c r="AE186" s="2">
        <f t="shared" si="127"/>
        <v>12.81</v>
      </c>
      <c r="AF186" s="2">
        <f t="shared" si="127"/>
        <v>15.12</v>
      </c>
      <c r="AG186" s="2">
        <f t="shared" si="127"/>
        <v>0</v>
      </c>
      <c r="AH186" s="2">
        <f t="shared" si="127"/>
        <v>2.85434886</v>
      </c>
      <c r="AI186" s="2">
        <f t="shared" si="127"/>
        <v>1.57793736</v>
      </c>
      <c r="AJ186" s="2">
        <f t="shared" si="127"/>
        <v>0</v>
      </c>
      <c r="AK186" s="2">
        <f t="shared" si="127"/>
        <v>41.06</v>
      </c>
      <c r="AL186" s="2">
        <f t="shared" si="127"/>
        <v>32.14</v>
      </c>
      <c r="AM186" s="2">
        <f t="shared" si="127"/>
        <v>0</v>
      </c>
      <c r="AN186" s="2">
        <f t="shared" si="127"/>
        <v>0</v>
      </c>
      <c r="AO186" s="2">
        <f t="shared" si="127"/>
        <v>0</v>
      </c>
      <c r="AP186" s="2">
        <f t="shared" si="127"/>
        <v>0</v>
      </c>
      <c r="AQ186" s="2">
        <f t="shared" si="127"/>
        <v>0</v>
      </c>
      <c r="AR186" s="2">
        <f t="shared" si="127"/>
        <v>3671.14</v>
      </c>
      <c r="AS186" s="2">
        <f t="shared" si="127"/>
        <v>399.6</v>
      </c>
      <c r="AT186" s="2">
        <f t="shared" si="127"/>
        <v>3271.54</v>
      </c>
      <c r="AU186" s="2">
        <f aca="true" t="shared" si="128" ref="AU186:BZ186">AU206</f>
        <v>0</v>
      </c>
      <c r="AV186" s="2">
        <f t="shared" si="128"/>
        <v>3314.39</v>
      </c>
      <c r="AW186" s="2">
        <f t="shared" si="128"/>
        <v>3314.39</v>
      </c>
      <c r="AX186" s="2">
        <f t="shared" si="128"/>
        <v>0</v>
      </c>
      <c r="AY186" s="2">
        <f t="shared" si="128"/>
        <v>3314.39</v>
      </c>
      <c r="AZ186" s="2">
        <f t="shared" si="128"/>
        <v>0</v>
      </c>
      <c r="BA186" s="2">
        <f t="shared" si="128"/>
        <v>0</v>
      </c>
      <c r="BB186" s="2">
        <f t="shared" si="128"/>
        <v>0</v>
      </c>
      <c r="BC186" s="2">
        <f t="shared" si="128"/>
        <v>0</v>
      </c>
      <c r="BD186" s="2">
        <f t="shared" si="128"/>
        <v>95.98</v>
      </c>
      <c r="BE186" s="2">
        <f t="shared" si="128"/>
        <v>0</v>
      </c>
      <c r="BF186" s="2">
        <f t="shared" si="128"/>
        <v>0</v>
      </c>
      <c r="BG186" s="2">
        <f t="shared" si="128"/>
        <v>0</v>
      </c>
      <c r="BH186" s="2">
        <f t="shared" si="128"/>
        <v>0</v>
      </c>
      <c r="BI186" s="2">
        <f t="shared" si="128"/>
        <v>0</v>
      </c>
      <c r="BJ186" s="2">
        <f t="shared" si="128"/>
        <v>0</v>
      </c>
      <c r="BK186" s="2">
        <f t="shared" si="128"/>
        <v>0</v>
      </c>
      <c r="BL186" s="2">
        <f t="shared" si="128"/>
        <v>0</v>
      </c>
      <c r="BM186" s="2">
        <f t="shared" si="128"/>
        <v>0</v>
      </c>
      <c r="BN186" s="2">
        <f t="shared" si="128"/>
        <v>0</v>
      </c>
      <c r="BO186" s="2">
        <f t="shared" si="128"/>
        <v>0</v>
      </c>
      <c r="BP186" s="2">
        <f t="shared" si="128"/>
        <v>0</v>
      </c>
      <c r="BQ186" s="2">
        <f t="shared" si="128"/>
        <v>0</v>
      </c>
      <c r="BR186" s="2">
        <f t="shared" si="128"/>
        <v>0</v>
      </c>
      <c r="BS186" s="2">
        <f t="shared" si="128"/>
        <v>0</v>
      </c>
      <c r="BT186" s="2">
        <f t="shared" si="128"/>
        <v>0</v>
      </c>
      <c r="BU186" s="2">
        <f t="shared" si="128"/>
        <v>0</v>
      </c>
      <c r="BV186" s="2">
        <f t="shared" si="128"/>
        <v>0</v>
      </c>
      <c r="BW186" s="2">
        <f t="shared" si="128"/>
        <v>0</v>
      </c>
      <c r="BX186" s="2">
        <f t="shared" si="128"/>
        <v>0</v>
      </c>
      <c r="BY186" s="2">
        <f t="shared" si="128"/>
        <v>0</v>
      </c>
      <c r="BZ186" s="2">
        <f t="shared" si="128"/>
        <v>0</v>
      </c>
      <c r="CA186" s="2">
        <f aca="true" t="shared" si="129" ref="CA186:DF186">CA206</f>
        <v>3671.14</v>
      </c>
      <c r="CB186" s="2">
        <f t="shared" si="129"/>
        <v>399.6</v>
      </c>
      <c r="CC186" s="2">
        <f t="shared" si="129"/>
        <v>3271.54</v>
      </c>
      <c r="CD186" s="2">
        <f t="shared" si="129"/>
        <v>0</v>
      </c>
      <c r="CE186" s="2">
        <f t="shared" si="129"/>
        <v>3314.39</v>
      </c>
      <c r="CF186" s="2">
        <f t="shared" si="129"/>
        <v>3314.39</v>
      </c>
      <c r="CG186" s="2">
        <f t="shared" si="129"/>
        <v>0</v>
      </c>
      <c r="CH186" s="2">
        <f t="shared" si="129"/>
        <v>3314.39</v>
      </c>
      <c r="CI186" s="2">
        <f t="shared" si="129"/>
        <v>0</v>
      </c>
      <c r="CJ186" s="2">
        <f t="shared" si="129"/>
        <v>0</v>
      </c>
      <c r="CK186" s="2">
        <f t="shared" si="129"/>
        <v>0</v>
      </c>
      <c r="CL186" s="2">
        <f t="shared" si="129"/>
        <v>0</v>
      </c>
      <c r="CM186" s="2">
        <f t="shared" si="129"/>
        <v>95.98</v>
      </c>
      <c r="CN186" s="2">
        <f t="shared" si="129"/>
        <v>0</v>
      </c>
      <c r="CO186" s="2">
        <f t="shared" si="129"/>
        <v>0</v>
      </c>
      <c r="CP186" s="2">
        <f t="shared" si="129"/>
        <v>0</v>
      </c>
      <c r="CQ186" s="2">
        <f t="shared" si="129"/>
        <v>0</v>
      </c>
      <c r="CR186" s="2">
        <f t="shared" si="129"/>
        <v>0</v>
      </c>
      <c r="CS186" s="2">
        <f t="shared" si="129"/>
        <v>0</v>
      </c>
      <c r="CT186" s="2">
        <f t="shared" si="129"/>
        <v>0</v>
      </c>
      <c r="CU186" s="2">
        <f t="shared" si="129"/>
        <v>0</v>
      </c>
      <c r="CV186" s="2">
        <f t="shared" si="129"/>
        <v>0</v>
      </c>
      <c r="CW186" s="2">
        <f t="shared" si="129"/>
        <v>0</v>
      </c>
      <c r="CX186" s="2">
        <f t="shared" si="129"/>
        <v>0</v>
      </c>
      <c r="CY186" s="2">
        <f t="shared" si="129"/>
        <v>0</v>
      </c>
      <c r="CZ186" s="2">
        <f t="shared" si="129"/>
        <v>0</v>
      </c>
      <c r="DA186" s="2">
        <f t="shared" si="129"/>
        <v>0</v>
      </c>
      <c r="DB186" s="2">
        <f t="shared" si="129"/>
        <v>0</v>
      </c>
      <c r="DC186" s="2">
        <f t="shared" si="129"/>
        <v>0</v>
      </c>
      <c r="DD186" s="2">
        <f t="shared" si="129"/>
        <v>0</v>
      </c>
      <c r="DE186" s="2">
        <f t="shared" si="129"/>
        <v>0</v>
      </c>
      <c r="DF186" s="2">
        <f t="shared" si="129"/>
        <v>0</v>
      </c>
      <c r="DG186" s="3">
        <f aca="true" t="shared" si="130" ref="DG186:EL186">DG206</f>
        <v>0</v>
      </c>
      <c r="DH186" s="3">
        <f t="shared" si="130"/>
        <v>0</v>
      </c>
      <c r="DI186" s="3">
        <f t="shared" si="130"/>
        <v>0</v>
      </c>
      <c r="DJ186" s="3">
        <f t="shared" si="130"/>
        <v>0</v>
      </c>
      <c r="DK186" s="3">
        <f t="shared" si="130"/>
        <v>0</v>
      </c>
      <c r="DL186" s="3">
        <f t="shared" si="130"/>
        <v>0</v>
      </c>
      <c r="DM186" s="3">
        <f t="shared" si="130"/>
        <v>0</v>
      </c>
      <c r="DN186" s="3">
        <f t="shared" si="130"/>
        <v>0</v>
      </c>
      <c r="DO186" s="3">
        <f t="shared" si="130"/>
        <v>0</v>
      </c>
      <c r="DP186" s="3">
        <f t="shared" si="130"/>
        <v>0</v>
      </c>
      <c r="DQ186" s="3">
        <f t="shared" si="130"/>
        <v>0</v>
      </c>
      <c r="DR186" s="3">
        <f t="shared" si="130"/>
        <v>0</v>
      </c>
      <c r="DS186" s="3">
        <f t="shared" si="130"/>
        <v>0</v>
      </c>
      <c r="DT186" s="3">
        <f t="shared" si="130"/>
        <v>0</v>
      </c>
      <c r="DU186" s="3">
        <f t="shared" si="130"/>
        <v>0</v>
      </c>
      <c r="DV186" s="3">
        <f t="shared" si="130"/>
        <v>0</v>
      </c>
      <c r="DW186" s="3">
        <f t="shared" si="130"/>
        <v>0</v>
      </c>
      <c r="DX186" s="3">
        <f t="shared" si="130"/>
        <v>0</v>
      </c>
      <c r="DY186" s="3">
        <f t="shared" si="130"/>
        <v>0</v>
      </c>
      <c r="DZ186" s="3">
        <f t="shared" si="130"/>
        <v>0</v>
      </c>
      <c r="EA186" s="3">
        <f t="shared" si="130"/>
        <v>0</v>
      </c>
      <c r="EB186" s="3">
        <f t="shared" si="130"/>
        <v>0</v>
      </c>
      <c r="EC186" s="3">
        <f t="shared" si="130"/>
        <v>0</v>
      </c>
      <c r="ED186" s="3">
        <f t="shared" si="130"/>
        <v>0</v>
      </c>
      <c r="EE186" s="3">
        <f t="shared" si="130"/>
        <v>0</v>
      </c>
      <c r="EF186" s="3">
        <f t="shared" si="130"/>
        <v>0</v>
      </c>
      <c r="EG186" s="3">
        <f t="shared" si="130"/>
        <v>0</v>
      </c>
      <c r="EH186" s="3">
        <f t="shared" si="130"/>
        <v>0</v>
      </c>
      <c r="EI186" s="3">
        <f t="shared" si="130"/>
        <v>0</v>
      </c>
      <c r="EJ186" s="3">
        <f t="shared" si="130"/>
        <v>0</v>
      </c>
      <c r="EK186" s="3">
        <f t="shared" si="130"/>
        <v>0</v>
      </c>
      <c r="EL186" s="3">
        <f t="shared" si="130"/>
        <v>0</v>
      </c>
      <c r="EM186" s="3">
        <f aca="true" t="shared" si="131" ref="EM186:FR186">EM206</f>
        <v>0</v>
      </c>
      <c r="EN186" s="3">
        <f t="shared" si="131"/>
        <v>0</v>
      </c>
      <c r="EO186" s="3">
        <f t="shared" si="131"/>
        <v>0</v>
      </c>
      <c r="EP186" s="3">
        <f t="shared" si="131"/>
        <v>0</v>
      </c>
      <c r="EQ186" s="3">
        <f t="shared" si="131"/>
        <v>0</v>
      </c>
      <c r="ER186" s="3">
        <f t="shared" si="131"/>
        <v>0</v>
      </c>
      <c r="ES186" s="3">
        <f t="shared" si="131"/>
        <v>0</v>
      </c>
      <c r="ET186" s="3">
        <f t="shared" si="131"/>
        <v>0</v>
      </c>
      <c r="EU186" s="3">
        <f t="shared" si="131"/>
        <v>0</v>
      </c>
      <c r="EV186" s="3">
        <f t="shared" si="131"/>
        <v>0</v>
      </c>
      <c r="EW186" s="3">
        <f t="shared" si="131"/>
        <v>0</v>
      </c>
      <c r="EX186" s="3">
        <f t="shared" si="131"/>
        <v>0</v>
      </c>
      <c r="EY186" s="3">
        <f t="shared" si="131"/>
        <v>0</v>
      </c>
      <c r="EZ186" s="3">
        <f t="shared" si="131"/>
        <v>0</v>
      </c>
      <c r="FA186" s="3">
        <f t="shared" si="131"/>
        <v>0</v>
      </c>
      <c r="FB186" s="3">
        <f t="shared" si="131"/>
        <v>0</v>
      </c>
      <c r="FC186" s="3">
        <f t="shared" si="131"/>
        <v>0</v>
      </c>
      <c r="FD186" s="3">
        <f t="shared" si="131"/>
        <v>0</v>
      </c>
      <c r="FE186" s="3">
        <f t="shared" si="131"/>
        <v>0</v>
      </c>
      <c r="FF186" s="3">
        <f t="shared" si="131"/>
        <v>0</v>
      </c>
      <c r="FG186" s="3">
        <f t="shared" si="131"/>
        <v>0</v>
      </c>
      <c r="FH186" s="3">
        <f t="shared" si="131"/>
        <v>0</v>
      </c>
      <c r="FI186" s="3">
        <f t="shared" si="131"/>
        <v>0</v>
      </c>
      <c r="FJ186" s="3">
        <f t="shared" si="131"/>
        <v>0</v>
      </c>
      <c r="FK186" s="3">
        <f t="shared" si="131"/>
        <v>0</v>
      </c>
      <c r="FL186" s="3">
        <f t="shared" si="131"/>
        <v>0</v>
      </c>
      <c r="FM186" s="3">
        <f t="shared" si="131"/>
        <v>0</v>
      </c>
      <c r="FN186" s="3">
        <f t="shared" si="131"/>
        <v>0</v>
      </c>
      <c r="FO186" s="3">
        <f t="shared" si="131"/>
        <v>0</v>
      </c>
      <c r="FP186" s="3">
        <f t="shared" si="131"/>
        <v>0</v>
      </c>
      <c r="FQ186" s="3">
        <f t="shared" si="131"/>
        <v>0</v>
      </c>
      <c r="FR186" s="3">
        <f t="shared" si="131"/>
        <v>0</v>
      </c>
      <c r="FS186" s="3">
        <f aca="true" t="shared" si="132" ref="FS186:GX186">FS206</f>
        <v>0</v>
      </c>
      <c r="FT186" s="3">
        <f t="shared" si="132"/>
        <v>0</v>
      </c>
      <c r="FU186" s="3">
        <f t="shared" si="132"/>
        <v>0</v>
      </c>
      <c r="FV186" s="3">
        <f t="shared" si="132"/>
        <v>0</v>
      </c>
      <c r="FW186" s="3">
        <f t="shared" si="132"/>
        <v>0</v>
      </c>
      <c r="FX186" s="3">
        <f t="shared" si="132"/>
        <v>0</v>
      </c>
      <c r="FY186" s="3">
        <f t="shared" si="132"/>
        <v>0</v>
      </c>
      <c r="FZ186" s="3">
        <f t="shared" si="132"/>
        <v>0</v>
      </c>
      <c r="GA186" s="3">
        <f t="shared" si="132"/>
        <v>0</v>
      </c>
      <c r="GB186" s="3">
        <f t="shared" si="132"/>
        <v>0</v>
      </c>
      <c r="GC186" s="3">
        <f t="shared" si="132"/>
        <v>0</v>
      </c>
      <c r="GD186" s="3">
        <f t="shared" si="132"/>
        <v>0</v>
      </c>
      <c r="GE186" s="3">
        <f t="shared" si="132"/>
        <v>0</v>
      </c>
      <c r="GF186" s="3">
        <f t="shared" si="132"/>
        <v>0</v>
      </c>
      <c r="GG186" s="3">
        <f t="shared" si="132"/>
        <v>0</v>
      </c>
      <c r="GH186" s="3">
        <f t="shared" si="132"/>
        <v>0</v>
      </c>
      <c r="GI186" s="3">
        <f t="shared" si="132"/>
        <v>0</v>
      </c>
      <c r="GJ186" s="3">
        <f t="shared" si="132"/>
        <v>0</v>
      </c>
      <c r="GK186" s="3">
        <f t="shared" si="132"/>
        <v>0</v>
      </c>
      <c r="GL186" s="3">
        <f t="shared" si="132"/>
        <v>0</v>
      </c>
      <c r="GM186" s="3">
        <f t="shared" si="132"/>
        <v>0</v>
      </c>
      <c r="GN186" s="3">
        <f t="shared" si="132"/>
        <v>0</v>
      </c>
      <c r="GO186" s="3">
        <f t="shared" si="132"/>
        <v>0</v>
      </c>
      <c r="GP186" s="3">
        <f t="shared" si="132"/>
        <v>0</v>
      </c>
      <c r="GQ186" s="3">
        <f t="shared" si="132"/>
        <v>0</v>
      </c>
      <c r="GR186" s="3">
        <f t="shared" si="132"/>
        <v>0</v>
      </c>
      <c r="GS186" s="3">
        <f t="shared" si="132"/>
        <v>0</v>
      </c>
      <c r="GT186" s="3">
        <f t="shared" si="132"/>
        <v>0</v>
      </c>
      <c r="GU186" s="3">
        <f t="shared" si="132"/>
        <v>0</v>
      </c>
      <c r="GV186" s="3">
        <f t="shared" si="132"/>
        <v>0</v>
      </c>
      <c r="GW186" s="3">
        <f t="shared" si="132"/>
        <v>0</v>
      </c>
      <c r="GX186" s="3">
        <f t="shared" si="132"/>
        <v>0</v>
      </c>
    </row>
    <row r="188" spans="1:245" ht="12.75">
      <c r="A188">
        <v>17</v>
      </c>
      <c r="B188">
        <v>1</v>
      </c>
      <c r="C188">
        <f>ROW(SmtRes!A153)</f>
        <v>153</v>
      </c>
      <c r="D188">
        <f>ROW(EtalonRes!A158)</f>
        <v>158</v>
      </c>
      <c r="E188" t="s">
        <v>251</v>
      </c>
      <c r="F188" t="s">
        <v>252</v>
      </c>
      <c r="G188" t="s">
        <v>253</v>
      </c>
      <c r="H188" t="s">
        <v>254</v>
      </c>
      <c r="I188">
        <f>ROUND(4*0.1/100,7)</f>
        <v>0.004</v>
      </c>
      <c r="J188">
        <v>0</v>
      </c>
      <c r="K188">
        <f>ROUND(4*0.1/100,7)</f>
        <v>0.004</v>
      </c>
      <c r="O188">
        <f aca="true" t="shared" si="133" ref="O188:O204">ROUND(CP188,2)</f>
        <v>35.7</v>
      </c>
      <c r="P188">
        <f aca="true" t="shared" si="134" ref="P188:P196">ROUND(CQ188*I188,2)</f>
        <v>0</v>
      </c>
      <c r="Q188">
        <f aca="true" t="shared" si="135" ref="Q188:Q204">ROUND(CR188*I188,2)</f>
        <v>27.68</v>
      </c>
      <c r="R188">
        <f aca="true" t="shared" si="136" ref="R188:R204">ROUND(CS188*I188,2)</f>
        <v>2.49</v>
      </c>
      <c r="S188">
        <f aca="true" t="shared" si="137" ref="S188:S204">ROUND(CT188*I188,2)</f>
        <v>8.02</v>
      </c>
      <c r="T188">
        <f aca="true" t="shared" si="138" ref="T188:T204">ROUND(CU188*I188,2)</f>
        <v>0</v>
      </c>
      <c r="U188">
        <f aca="true" t="shared" si="139" ref="U188:U204">CV188*I188</f>
        <v>0.992496</v>
      </c>
      <c r="V188">
        <f aca="true" t="shared" si="140" ref="V188:V204">CW188*I188</f>
        <v>0.2518776</v>
      </c>
      <c r="W188">
        <f aca="true" t="shared" si="141" ref="W188:W204">ROUND(CX188*I188,2)</f>
        <v>0</v>
      </c>
      <c r="X188">
        <f aca="true" t="shared" si="142" ref="X188:X204">ROUND(CY188,2)</f>
        <v>15.45</v>
      </c>
      <c r="Y188">
        <f aca="true" t="shared" si="143" ref="Y188:Y204">ROUND(CZ188,2)</f>
        <v>14.08</v>
      </c>
      <c r="AA188">
        <v>44571020</v>
      </c>
      <c r="AB188">
        <f aca="true" t="shared" si="144" ref="AB188:AB204">ROUND((AC188+AD188+AF188),2)</f>
        <v>8923.6</v>
      </c>
      <c r="AC188">
        <f aca="true" t="shared" si="145" ref="AC188:AC194">ROUND((ES188),2)</f>
        <v>0</v>
      </c>
      <c r="AD188">
        <f>ROUND(((((ET188*ROUND((1.15*1.2),7)))-((EU188*ROUND((1.15*1.2),7))))+AE188),2)</f>
        <v>6918.76</v>
      </c>
      <c r="AE188">
        <f>ROUND(((EU188*ROUND((1.15*1.2),7))),2)</f>
        <v>622.77</v>
      </c>
      <c r="AF188">
        <f>ROUND(((EV188*ROUND((1.15*1.2),7))),2)</f>
        <v>2004.84</v>
      </c>
      <c r="AG188">
        <f aca="true" t="shared" si="146" ref="AG188:AG204">ROUND((AP188),2)</f>
        <v>0</v>
      </c>
      <c r="AH188">
        <f>((EW188*ROUND((1.15*1.2),7)))</f>
        <v>248.124</v>
      </c>
      <c r="AI188">
        <f>((EX188*ROUND((1.15*1.2),7)))</f>
        <v>62.9694</v>
      </c>
      <c r="AJ188">
        <f aca="true" t="shared" si="147" ref="AJ188:AJ204">(AS188)</f>
        <v>0</v>
      </c>
      <c r="AK188">
        <v>6466.37</v>
      </c>
      <c r="AL188">
        <v>0</v>
      </c>
      <c r="AM188">
        <v>5013.59</v>
      </c>
      <c r="AN188">
        <v>451.28</v>
      </c>
      <c r="AO188">
        <v>1452.78</v>
      </c>
      <c r="AP188">
        <v>0</v>
      </c>
      <c r="AQ188">
        <v>179.8</v>
      </c>
      <c r="AR188">
        <v>45.63</v>
      </c>
      <c r="AS188">
        <v>0</v>
      </c>
      <c r="AT188">
        <v>147</v>
      </c>
      <c r="AU188">
        <v>134</v>
      </c>
      <c r="AV188">
        <v>1</v>
      </c>
      <c r="AW188">
        <v>1</v>
      </c>
      <c r="AZ188">
        <v>1</v>
      </c>
      <c r="BA188">
        <v>28.93</v>
      </c>
      <c r="BB188">
        <v>1</v>
      </c>
      <c r="BC188">
        <v>1</v>
      </c>
      <c r="BH188">
        <v>0</v>
      </c>
      <c r="BI188">
        <v>1</v>
      </c>
      <c r="BJ188" t="s">
        <v>255</v>
      </c>
      <c r="BM188">
        <v>27006</v>
      </c>
      <c r="BN188">
        <v>0</v>
      </c>
      <c r="BP188">
        <v>0</v>
      </c>
      <c r="BQ188">
        <v>2</v>
      </c>
      <c r="BR188">
        <v>0</v>
      </c>
      <c r="BS188">
        <v>28.93</v>
      </c>
      <c r="BT188">
        <v>1</v>
      </c>
      <c r="BU188">
        <v>1</v>
      </c>
      <c r="BV188">
        <v>1</v>
      </c>
      <c r="BW188">
        <v>1</v>
      </c>
      <c r="BX188">
        <v>1</v>
      </c>
      <c r="BZ188">
        <v>147</v>
      </c>
      <c r="CA188">
        <v>134</v>
      </c>
      <c r="CE188">
        <v>0</v>
      </c>
      <c r="CF188">
        <v>0</v>
      </c>
      <c r="CG188">
        <v>0</v>
      </c>
      <c r="CM188">
        <v>0</v>
      </c>
      <c r="CO188">
        <v>0</v>
      </c>
      <c r="CP188">
        <f aca="true" t="shared" si="148" ref="CP188:CP204">(P188+Q188+S188)</f>
        <v>35.7</v>
      </c>
      <c r="CQ188">
        <f aca="true" t="shared" si="149" ref="CQ188:CQ196">AC188*BC188</f>
        <v>0</v>
      </c>
      <c r="CR188">
        <f aca="true" t="shared" si="150" ref="CR188:CR204">AD188*BB188</f>
        <v>6918.76</v>
      </c>
      <c r="CS188">
        <f aca="true" t="shared" si="151" ref="CS188:CS204">AE188</f>
        <v>622.77</v>
      </c>
      <c r="CT188">
        <f aca="true" t="shared" si="152" ref="CT188:CT204">AF188</f>
        <v>2004.84</v>
      </c>
      <c r="CU188">
        <f aca="true" t="shared" si="153" ref="CU188:CU204">AG188</f>
        <v>0</v>
      </c>
      <c r="CV188">
        <f aca="true" t="shared" si="154" ref="CV188:CV204">AH188</f>
        <v>248.124</v>
      </c>
      <c r="CW188">
        <f aca="true" t="shared" si="155" ref="CW188:CW204">AI188</f>
        <v>62.9694</v>
      </c>
      <c r="CX188">
        <f aca="true" t="shared" si="156" ref="CX188:CX204">AJ188</f>
        <v>0</v>
      </c>
      <c r="CY188">
        <f aca="true" t="shared" si="157" ref="CY188:CY204">(((S188+R188)*AT188)/100)</f>
        <v>15.4497</v>
      </c>
      <c r="CZ188">
        <f aca="true" t="shared" si="158" ref="CZ188:CZ204">(((S188+R188)*AU188)/100)</f>
        <v>14.0834</v>
      </c>
      <c r="DE188" t="s">
        <v>86</v>
      </c>
      <c r="DF188" t="s">
        <v>86</v>
      </c>
      <c r="DG188" t="s">
        <v>86</v>
      </c>
      <c r="DI188" t="s">
        <v>86</v>
      </c>
      <c r="DJ188" t="s">
        <v>86</v>
      </c>
      <c r="DN188">
        <v>0</v>
      </c>
      <c r="DO188">
        <v>0</v>
      </c>
      <c r="DP188">
        <v>1</v>
      </c>
      <c r="DQ188">
        <v>1</v>
      </c>
      <c r="DU188">
        <v>1007</v>
      </c>
      <c r="DV188" t="s">
        <v>254</v>
      </c>
      <c r="DW188" t="s">
        <v>254</v>
      </c>
      <c r="DX188">
        <v>100</v>
      </c>
      <c r="EE188">
        <v>37976417</v>
      </c>
      <c r="EF188">
        <v>2</v>
      </c>
      <c r="EG188" t="s">
        <v>23</v>
      </c>
      <c r="EH188">
        <v>21</v>
      </c>
      <c r="EI188" t="s">
        <v>256</v>
      </c>
      <c r="EJ188">
        <v>1</v>
      </c>
      <c r="EK188">
        <v>27006</v>
      </c>
      <c r="EL188" t="s">
        <v>257</v>
      </c>
      <c r="EM188" t="s">
        <v>258</v>
      </c>
      <c r="EQ188">
        <v>0</v>
      </c>
      <c r="ER188">
        <v>6466.37</v>
      </c>
      <c r="ES188">
        <v>0</v>
      </c>
      <c r="ET188">
        <v>5013.59</v>
      </c>
      <c r="EU188">
        <v>451.28</v>
      </c>
      <c r="EV188">
        <v>1452.78</v>
      </c>
      <c r="EW188">
        <v>179.8</v>
      </c>
      <c r="EX188">
        <v>45.63</v>
      </c>
      <c r="EY188">
        <v>0</v>
      </c>
      <c r="FQ188">
        <v>0</v>
      </c>
      <c r="FR188">
        <f aca="true" t="shared" si="159" ref="FR188:FR204">ROUND(IF(AND(BH188=3,BI188=3),P188,0),2)</f>
        <v>0</v>
      </c>
      <c r="FS188">
        <v>0</v>
      </c>
      <c r="FX188">
        <v>147</v>
      </c>
      <c r="FY188">
        <v>134</v>
      </c>
      <c r="GD188">
        <v>1</v>
      </c>
      <c r="GF188">
        <v>-1633117468</v>
      </c>
      <c r="GG188">
        <v>2</v>
      </c>
      <c r="GH188">
        <v>1</v>
      </c>
      <c r="GI188">
        <v>4</v>
      </c>
      <c r="GJ188">
        <v>0</v>
      </c>
      <c r="GK188">
        <v>0</v>
      </c>
      <c r="GL188">
        <f aca="true" t="shared" si="160" ref="GL188:GL204">ROUND(IF(AND(BH188=3,BI188=3,FS188&lt;&gt;0),P188,0),2)</f>
        <v>0</v>
      </c>
      <c r="GM188">
        <f aca="true" t="shared" si="161" ref="GM188:GM204">ROUND(O188+X188+Y188,2)+GX188</f>
        <v>65.23</v>
      </c>
      <c r="GN188">
        <f aca="true" t="shared" si="162" ref="GN188:GN204">IF(OR(BI188=0,BI188=1),ROUND(O188+X188+Y188,2),0)</f>
        <v>65.23</v>
      </c>
      <c r="GO188">
        <f aca="true" t="shared" si="163" ref="GO188:GO204">IF(BI188=2,ROUND(O188+X188+Y188,2),0)</f>
        <v>0</v>
      </c>
      <c r="GP188">
        <f aca="true" t="shared" si="164" ref="GP188:GP204">IF(BI188=4,ROUND(O188+X188+Y188,2)+GX188,0)</f>
        <v>0</v>
      </c>
      <c r="GR188">
        <v>0</v>
      </c>
      <c r="GS188">
        <v>3</v>
      </c>
      <c r="GT188">
        <v>0</v>
      </c>
      <c r="GV188">
        <f aca="true" t="shared" si="165" ref="GV188:GV204">ROUND((GT188),2)</f>
        <v>0</v>
      </c>
      <c r="GW188">
        <v>1</v>
      </c>
      <c r="GX188">
        <f aca="true" t="shared" si="166" ref="GX188:GX204">ROUND(HC188*I188,2)</f>
        <v>0</v>
      </c>
      <c r="HA188">
        <v>0</v>
      </c>
      <c r="HB188">
        <v>0</v>
      </c>
      <c r="HC188">
        <f aca="true" t="shared" si="167" ref="HC188:HC204">GV188*GW188</f>
        <v>0</v>
      </c>
      <c r="HI188">
        <f aca="true" t="shared" si="168" ref="HI188:HI204">ROUND(R188*BS188,2)</f>
        <v>72.04</v>
      </c>
      <c r="HJ188">
        <f aca="true" t="shared" si="169" ref="HJ188:HJ204">ROUND(S188*BA188,2)</f>
        <v>232.02</v>
      </c>
      <c r="HK188">
        <f aca="true" t="shared" si="170" ref="HK188:HK204">ROUND((((HJ188+HI188)*AT188)/100),2)</f>
        <v>446.97</v>
      </c>
      <c r="HL188">
        <f aca="true" t="shared" si="171" ref="HL188:HL204">ROUND((((HJ188+HI188)*AU188)/100),2)</f>
        <v>407.44</v>
      </c>
      <c r="HN188" t="s">
        <v>259</v>
      </c>
      <c r="HO188" t="s">
        <v>260</v>
      </c>
      <c r="HP188" t="s">
        <v>256</v>
      </c>
      <c r="HQ188" t="s">
        <v>256</v>
      </c>
      <c r="IK188">
        <v>0</v>
      </c>
    </row>
    <row r="189" spans="1:245" ht="12.75">
      <c r="A189">
        <v>17</v>
      </c>
      <c r="B189">
        <v>1</v>
      </c>
      <c r="C189">
        <f>ROW(SmtRes!A159)</f>
        <v>159</v>
      </c>
      <c r="D189">
        <f>ROW(EtalonRes!A164)</f>
        <v>164</v>
      </c>
      <c r="E189" t="s">
        <v>261</v>
      </c>
      <c r="F189" t="s">
        <v>262</v>
      </c>
      <c r="G189" t="s">
        <v>263</v>
      </c>
      <c r="H189" t="s">
        <v>254</v>
      </c>
      <c r="I189">
        <f>ROUND(4*0.15/100,7)</f>
        <v>0.006</v>
      </c>
      <c r="J189">
        <v>0</v>
      </c>
      <c r="K189">
        <f>ROUND(4*0.15/100,7)</f>
        <v>0.006</v>
      </c>
      <c r="O189">
        <f t="shared" si="133"/>
        <v>4.46</v>
      </c>
      <c r="P189">
        <f t="shared" si="134"/>
        <v>0</v>
      </c>
      <c r="Q189">
        <f t="shared" si="135"/>
        <v>3.63</v>
      </c>
      <c r="R189">
        <f t="shared" si="136"/>
        <v>0.4</v>
      </c>
      <c r="S189">
        <f t="shared" si="137"/>
        <v>0.83</v>
      </c>
      <c r="T189">
        <f t="shared" si="138"/>
        <v>0</v>
      </c>
      <c r="U189">
        <f t="shared" si="139"/>
        <v>0.1094616</v>
      </c>
      <c r="V189">
        <f t="shared" si="140"/>
        <v>0.0313812</v>
      </c>
      <c r="W189">
        <f t="shared" si="141"/>
        <v>0</v>
      </c>
      <c r="X189">
        <f t="shared" si="142"/>
        <v>1.81</v>
      </c>
      <c r="Y189">
        <f t="shared" si="143"/>
        <v>1.65</v>
      </c>
      <c r="AA189">
        <v>44571020</v>
      </c>
      <c r="AB189">
        <f t="shared" si="144"/>
        <v>743.26</v>
      </c>
      <c r="AC189">
        <f t="shared" si="145"/>
        <v>0</v>
      </c>
      <c r="AD189">
        <f>ROUND(((((ET189*ROUND((1.15*1.2),7)))-((EU189*ROUND((1.15*1.2),7))))+AE189),2)</f>
        <v>604.97</v>
      </c>
      <c r="AE189">
        <f>ROUND(((EU189*ROUND((1.15*1.2),7))),2)</f>
        <v>67.47</v>
      </c>
      <c r="AF189">
        <f>ROUND(((EV189*ROUND((1.15*1.2),7))),2)</f>
        <v>138.29</v>
      </c>
      <c r="AG189">
        <f t="shared" si="146"/>
        <v>0</v>
      </c>
      <c r="AH189">
        <f>((EW189*ROUND((1.15*1.2),7)))</f>
        <v>18.2436</v>
      </c>
      <c r="AI189">
        <f>((EX189*ROUND((1.15*1.2),7)))</f>
        <v>5.2302</v>
      </c>
      <c r="AJ189">
        <f t="shared" si="147"/>
        <v>0</v>
      </c>
      <c r="AK189">
        <v>538.59</v>
      </c>
      <c r="AL189">
        <v>0</v>
      </c>
      <c r="AM189">
        <v>438.38</v>
      </c>
      <c r="AN189">
        <v>48.89</v>
      </c>
      <c r="AO189">
        <v>100.21</v>
      </c>
      <c r="AP189">
        <v>0</v>
      </c>
      <c r="AQ189">
        <v>13.22</v>
      </c>
      <c r="AR189">
        <v>3.79</v>
      </c>
      <c r="AS189">
        <v>0</v>
      </c>
      <c r="AT189">
        <v>147</v>
      </c>
      <c r="AU189">
        <v>134</v>
      </c>
      <c r="AV189">
        <v>1</v>
      </c>
      <c r="AW189">
        <v>1</v>
      </c>
      <c r="AZ189">
        <v>1</v>
      </c>
      <c r="BA189">
        <v>28.93</v>
      </c>
      <c r="BB189">
        <v>1</v>
      </c>
      <c r="BC189">
        <v>1</v>
      </c>
      <c r="BH189">
        <v>0</v>
      </c>
      <c r="BI189">
        <v>1</v>
      </c>
      <c r="BJ189" t="s">
        <v>264</v>
      </c>
      <c r="BM189">
        <v>27006</v>
      </c>
      <c r="BN189">
        <v>0</v>
      </c>
      <c r="BP189">
        <v>0</v>
      </c>
      <c r="BQ189">
        <v>2</v>
      </c>
      <c r="BR189">
        <v>0</v>
      </c>
      <c r="BS189">
        <v>28.93</v>
      </c>
      <c r="BT189">
        <v>1</v>
      </c>
      <c r="BU189">
        <v>1</v>
      </c>
      <c r="BV189">
        <v>1</v>
      </c>
      <c r="BW189">
        <v>1</v>
      </c>
      <c r="BX189">
        <v>1</v>
      </c>
      <c r="BZ189">
        <v>147</v>
      </c>
      <c r="CA189">
        <v>134</v>
      </c>
      <c r="CE189">
        <v>0</v>
      </c>
      <c r="CF189">
        <v>0</v>
      </c>
      <c r="CG189">
        <v>0</v>
      </c>
      <c r="CM189">
        <v>0</v>
      </c>
      <c r="CO189">
        <v>0</v>
      </c>
      <c r="CP189">
        <f t="shared" si="148"/>
        <v>4.46</v>
      </c>
      <c r="CQ189">
        <f t="shared" si="149"/>
        <v>0</v>
      </c>
      <c r="CR189">
        <f t="shared" si="150"/>
        <v>604.97</v>
      </c>
      <c r="CS189">
        <f t="shared" si="151"/>
        <v>67.47</v>
      </c>
      <c r="CT189">
        <f t="shared" si="152"/>
        <v>138.29</v>
      </c>
      <c r="CU189">
        <f t="shared" si="153"/>
        <v>0</v>
      </c>
      <c r="CV189">
        <f t="shared" si="154"/>
        <v>18.2436</v>
      </c>
      <c r="CW189">
        <f t="shared" si="155"/>
        <v>5.2302</v>
      </c>
      <c r="CX189">
        <f t="shared" si="156"/>
        <v>0</v>
      </c>
      <c r="CY189">
        <f t="shared" si="157"/>
        <v>1.8081</v>
      </c>
      <c r="CZ189">
        <f t="shared" si="158"/>
        <v>1.6481999999999999</v>
      </c>
      <c r="DE189" t="s">
        <v>86</v>
      </c>
      <c r="DF189" t="s">
        <v>86</v>
      </c>
      <c r="DG189" t="s">
        <v>86</v>
      </c>
      <c r="DI189" t="s">
        <v>86</v>
      </c>
      <c r="DJ189" t="s">
        <v>86</v>
      </c>
      <c r="DN189">
        <v>0</v>
      </c>
      <c r="DO189">
        <v>0</v>
      </c>
      <c r="DP189">
        <v>1</v>
      </c>
      <c r="DQ189">
        <v>1</v>
      </c>
      <c r="DU189">
        <v>1007</v>
      </c>
      <c r="DV189" t="s">
        <v>254</v>
      </c>
      <c r="DW189" t="s">
        <v>254</v>
      </c>
      <c r="DX189">
        <v>100</v>
      </c>
      <c r="EE189">
        <v>37976417</v>
      </c>
      <c r="EF189">
        <v>2</v>
      </c>
      <c r="EG189" t="s">
        <v>23</v>
      </c>
      <c r="EH189">
        <v>21</v>
      </c>
      <c r="EI189" t="s">
        <v>256</v>
      </c>
      <c r="EJ189">
        <v>1</v>
      </c>
      <c r="EK189">
        <v>27006</v>
      </c>
      <c r="EL189" t="s">
        <v>257</v>
      </c>
      <c r="EM189" t="s">
        <v>258</v>
      </c>
      <c r="EQ189">
        <v>0</v>
      </c>
      <c r="ER189">
        <v>538.59</v>
      </c>
      <c r="ES189">
        <v>0</v>
      </c>
      <c r="ET189">
        <v>438.38</v>
      </c>
      <c r="EU189">
        <v>48.89</v>
      </c>
      <c r="EV189">
        <v>100.21</v>
      </c>
      <c r="EW189">
        <v>13.22</v>
      </c>
      <c r="EX189">
        <v>3.79</v>
      </c>
      <c r="EY189">
        <v>0</v>
      </c>
      <c r="FQ189">
        <v>0</v>
      </c>
      <c r="FR189">
        <f t="shared" si="159"/>
        <v>0</v>
      </c>
      <c r="FS189">
        <v>0</v>
      </c>
      <c r="FX189">
        <v>147</v>
      </c>
      <c r="FY189">
        <v>134</v>
      </c>
      <c r="GD189">
        <v>1</v>
      </c>
      <c r="GF189">
        <v>-160796972</v>
      </c>
      <c r="GG189">
        <v>2</v>
      </c>
      <c r="GH189">
        <v>1</v>
      </c>
      <c r="GI189">
        <v>4</v>
      </c>
      <c r="GJ189">
        <v>0</v>
      </c>
      <c r="GK189">
        <v>0</v>
      </c>
      <c r="GL189">
        <f t="shared" si="160"/>
        <v>0</v>
      </c>
      <c r="GM189">
        <f t="shared" si="161"/>
        <v>7.92</v>
      </c>
      <c r="GN189">
        <f t="shared" si="162"/>
        <v>7.92</v>
      </c>
      <c r="GO189">
        <f t="shared" si="163"/>
        <v>0</v>
      </c>
      <c r="GP189">
        <f t="shared" si="164"/>
        <v>0</v>
      </c>
      <c r="GR189">
        <v>0</v>
      </c>
      <c r="GS189">
        <v>0</v>
      </c>
      <c r="GT189">
        <v>0</v>
      </c>
      <c r="GV189">
        <f t="shared" si="165"/>
        <v>0</v>
      </c>
      <c r="GW189">
        <v>1</v>
      </c>
      <c r="GX189">
        <f t="shared" si="166"/>
        <v>0</v>
      </c>
      <c r="HA189">
        <v>0</v>
      </c>
      <c r="HB189">
        <v>0</v>
      </c>
      <c r="HC189">
        <f t="shared" si="167"/>
        <v>0</v>
      </c>
      <c r="HI189">
        <f t="shared" si="168"/>
        <v>11.57</v>
      </c>
      <c r="HJ189">
        <f t="shared" si="169"/>
        <v>24.01</v>
      </c>
      <c r="HK189">
        <f t="shared" si="170"/>
        <v>52.3</v>
      </c>
      <c r="HL189">
        <f t="shared" si="171"/>
        <v>47.68</v>
      </c>
      <c r="HN189" t="s">
        <v>259</v>
      </c>
      <c r="HO189" t="s">
        <v>260</v>
      </c>
      <c r="HP189" t="s">
        <v>256</v>
      </c>
      <c r="HQ189" t="s">
        <v>256</v>
      </c>
      <c r="IK189">
        <v>0</v>
      </c>
    </row>
    <row r="190" spans="1:245" ht="12.75">
      <c r="A190">
        <v>17</v>
      </c>
      <c r="B190">
        <v>1</v>
      </c>
      <c r="C190">
        <f>ROW(SmtRes!A162)</f>
        <v>162</v>
      </c>
      <c r="D190">
        <f>ROW(EtalonRes!A167)</f>
        <v>167</v>
      </c>
      <c r="E190" t="s">
        <v>265</v>
      </c>
      <c r="F190" t="s">
        <v>266</v>
      </c>
      <c r="G190" t="s">
        <v>267</v>
      </c>
      <c r="H190" t="s">
        <v>61</v>
      </c>
      <c r="I190">
        <f>ROUND(0.4*2.1+0.6*1.6,7)</f>
        <v>1.8</v>
      </c>
      <c r="J190">
        <v>0</v>
      </c>
      <c r="K190">
        <f>ROUND(0.4*2.1+0.6*1.6,7)</f>
        <v>1.8</v>
      </c>
      <c r="O190">
        <f t="shared" si="133"/>
        <v>76.68</v>
      </c>
      <c r="P190">
        <f t="shared" si="134"/>
        <v>0</v>
      </c>
      <c r="Q190">
        <f t="shared" si="135"/>
        <v>76.68</v>
      </c>
      <c r="R190">
        <f t="shared" si="136"/>
        <v>0</v>
      </c>
      <c r="S190">
        <f t="shared" si="137"/>
        <v>0</v>
      </c>
      <c r="T190">
        <f t="shared" si="138"/>
        <v>0</v>
      </c>
      <c r="U190">
        <f t="shared" si="139"/>
        <v>1.03986</v>
      </c>
      <c r="V190">
        <f t="shared" si="140"/>
        <v>0.522</v>
      </c>
      <c r="W190">
        <f t="shared" si="141"/>
        <v>0</v>
      </c>
      <c r="X190">
        <f t="shared" si="142"/>
        <v>0</v>
      </c>
      <c r="Y190">
        <f t="shared" si="143"/>
        <v>0</v>
      </c>
      <c r="AA190">
        <v>44571020</v>
      </c>
      <c r="AB190">
        <f t="shared" si="144"/>
        <v>42.6</v>
      </c>
      <c r="AC190">
        <f t="shared" si="145"/>
        <v>0</v>
      </c>
      <c r="AD190">
        <f>ROUND(((ET190)+ROUND(((EU190)*1.6),2)),2)</f>
        <v>42.6</v>
      </c>
      <c r="AE190">
        <f>ROUND(((EU190)+ROUND(((EU190)*1.6),2)),2)</f>
        <v>0</v>
      </c>
      <c r="AF190">
        <f>ROUND(((EV190)+ROUND(((EV190)*1.6),2)),2)</f>
        <v>0</v>
      </c>
      <c r="AG190">
        <f t="shared" si="146"/>
        <v>0</v>
      </c>
      <c r="AH190">
        <f>(EW190)</f>
        <v>0.5777</v>
      </c>
      <c r="AI190">
        <f>(EX190)</f>
        <v>0.29</v>
      </c>
      <c r="AJ190">
        <f t="shared" si="147"/>
        <v>0</v>
      </c>
      <c r="AK190">
        <v>42.6</v>
      </c>
      <c r="AL190">
        <v>0</v>
      </c>
      <c r="AM190">
        <v>42.6</v>
      </c>
      <c r="AN190">
        <v>0</v>
      </c>
      <c r="AO190">
        <v>0</v>
      </c>
      <c r="AP190">
        <v>0</v>
      </c>
      <c r="AQ190">
        <v>0.5777</v>
      </c>
      <c r="AR190">
        <v>0.29</v>
      </c>
      <c r="AS190">
        <v>0</v>
      </c>
      <c r="AT190">
        <v>0</v>
      </c>
      <c r="AU190">
        <v>0</v>
      </c>
      <c r="AV190">
        <v>1</v>
      </c>
      <c r="AW190">
        <v>1</v>
      </c>
      <c r="AZ190">
        <v>1</v>
      </c>
      <c r="BA190">
        <v>28.93</v>
      </c>
      <c r="BB190">
        <v>1</v>
      </c>
      <c r="BC190">
        <v>1</v>
      </c>
      <c r="BH190">
        <v>0</v>
      </c>
      <c r="BI190">
        <v>1</v>
      </c>
      <c r="BJ190" t="s">
        <v>268</v>
      </c>
      <c r="BM190">
        <v>700004</v>
      </c>
      <c r="BN190">
        <v>0</v>
      </c>
      <c r="BP190">
        <v>0</v>
      </c>
      <c r="BQ190">
        <v>19</v>
      </c>
      <c r="BR190">
        <v>0</v>
      </c>
      <c r="BS190">
        <v>28.93</v>
      </c>
      <c r="BT190">
        <v>1</v>
      </c>
      <c r="BU190">
        <v>1</v>
      </c>
      <c r="BV190">
        <v>1</v>
      </c>
      <c r="BW190">
        <v>1</v>
      </c>
      <c r="BX190">
        <v>1</v>
      </c>
      <c r="BZ190">
        <v>0</v>
      </c>
      <c r="CA190">
        <v>0</v>
      </c>
      <c r="CE190">
        <v>0</v>
      </c>
      <c r="CF190">
        <v>0</v>
      </c>
      <c r="CG190">
        <v>0</v>
      </c>
      <c r="CM190">
        <v>0</v>
      </c>
      <c r="CO190">
        <v>0</v>
      </c>
      <c r="CP190">
        <f t="shared" si="148"/>
        <v>76.68</v>
      </c>
      <c r="CQ190">
        <f t="shared" si="149"/>
        <v>0</v>
      </c>
      <c r="CR190">
        <f t="shared" si="150"/>
        <v>42.6</v>
      </c>
      <c r="CS190">
        <f t="shared" si="151"/>
        <v>0</v>
      </c>
      <c r="CT190">
        <f t="shared" si="152"/>
        <v>0</v>
      </c>
      <c r="CU190">
        <f t="shared" si="153"/>
        <v>0</v>
      </c>
      <c r="CV190">
        <f t="shared" si="154"/>
        <v>0.5777</v>
      </c>
      <c r="CW190">
        <f t="shared" si="155"/>
        <v>0.29</v>
      </c>
      <c r="CX190">
        <f t="shared" si="156"/>
        <v>0</v>
      </c>
      <c r="CY190">
        <f t="shared" si="157"/>
        <v>0</v>
      </c>
      <c r="CZ190">
        <f t="shared" si="158"/>
        <v>0</v>
      </c>
      <c r="DN190">
        <v>0</v>
      </c>
      <c r="DO190">
        <v>0</v>
      </c>
      <c r="DP190">
        <v>1</v>
      </c>
      <c r="DQ190">
        <v>1</v>
      </c>
      <c r="DU190">
        <v>1013</v>
      </c>
      <c r="DV190" t="s">
        <v>61</v>
      </c>
      <c r="DW190" t="s">
        <v>61</v>
      </c>
      <c r="DX190">
        <v>1</v>
      </c>
      <c r="EE190">
        <v>37976241</v>
      </c>
      <c r="EF190">
        <v>19</v>
      </c>
      <c r="EG190" t="s">
        <v>63</v>
      </c>
      <c r="EH190">
        <v>106</v>
      </c>
      <c r="EI190" t="s">
        <v>63</v>
      </c>
      <c r="EJ190">
        <v>1</v>
      </c>
      <c r="EK190">
        <v>700004</v>
      </c>
      <c r="EL190" t="s">
        <v>63</v>
      </c>
      <c r="EM190" t="s">
        <v>64</v>
      </c>
      <c r="EQ190">
        <v>0</v>
      </c>
      <c r="ER190">
        <v>42.6</v>
      </c>
      <c r="ES190">
        <v>0</v>
      </c>
      <c r="ET190">
        <v>42.6</v>
      </c>
      <c r="EU190">
        <v>0</v>
      </c>
      <c r="EV190">
        <v>0</v>
      </c>
      <c r="EW190">
        <v>0.5777</v>
      </c>
      <c r="EX190">
        <v>0.29</v>
      </c>
      <c r="EY190">
        <v>0</v>
      </c>
      <c r="FQ190">
        <v>0</v>
      </c>
      <c r="FR190">
        <f t="shared" si="159"/>
        <v>0</v>
      </c>
      <c r="FS190">
        <v>0</v>
      </c>
      <c r="FX190">
        <v>0</v>
      </c>
      <c r="FY190">
        <v>0</v>
      </c>
      <c r="GD190">
        <v>1</v>
      </c>
      <c r="GF190">
        <v>-1142288108</v>
      </c>
      <c r="GG190">
        <v>2</v>
      </c>
      <c r="GH190">
        <v>1</v>
      </c>
      <c r="GI190">
        <v>4</v>
      </c>
      <c r="GJ190">
        <v>0</v>
      </c>
      <c r="GK190">
        <v>0</v>
      </c>
      <c r="GL190">
        <f t="shared" si="160"/>
        <v>0</v>
      </c>
      <c r="GM190">
        <f t="shared" si="161"/>
        <v>76.68</v>
      </c>
      <c r="GN190">
        <f t="shared" si="162"/>
        <v>76.68</v>
      </c>
      <c r="GO190">
        <f t="shared" si="163"/>
        <v>0</v>
      </c>
      <c r="GP190">
        <f t="shared" si="164"/>
        <v>0</v>
      </c>
      <c r="GR190">
        <v>0</v>
      </c>
      <c r="GS190">
        <v>0</v>
      </c>
      <c r="GT190">
        <v>0</v>
      </c>
      <c r="GV190">
        <f t="shared" si="165"/>
        <v>0</v>
      </c>
      <c r="GW190">
        <v>1</v>
      </c>
      <c r="GX190">
        <f t="shared" si="166"/>
        <v>0</v>
      </c>
      <c r="HA190">
        <v>0</v>
      </c>
      <c r="HB190">
        <v>0</v>
      </c>
      <c r="HC190">
        <f t="shared" si="167"/>
        <v>0</v>
      </c>
      <c r="HD190">
        <f>GM190</f>
        <v>76.68</v>
      </c>
      <c r="HI190">
        <f t="shared" si="168"/>
        <v>0</v>
      </c>
      <c r="HJ190">
        <f t="shared" si="169"/>
        <v>0</v>
      </c>
      <c r="HK190">
        <f t="shared" si="170"/>
        <v>0</v>
      </c>
      <c r="HL190">
        <f t="shared" si="171"/>
        <v>0</v>
      </c>
      <c r="IK190">
        <v>0</v>
      </c>
    </row>
    <row r="191" spans="1:245" ht="12.75">
      <c r="A191">
        <v>17</v>
      </c>
      <c r="B191">
        <v>1</v>
      </c>
      <c r="E191" t="s">
        <v>269</v>
      </c>
      <c r="F191" t="s">
        <v>270</v>
      </c>
      <c r="G191" t="s">
        <v>271</v>
      </c>
      <c r="H191" t="s">
        <v>61</v>
      </c>
      <c r="I191">
        <v>1.8</v>
      </c>
      <c r="J191">
        <v>0</v>
      </c>
      <c r="K191">
        <v>1.8</v>
      </c>
      <c r="O191">
        <f t="shared" si="133"/>
        <v>19.3</v>
      </c>
      <c r="P191">
        <f t="shared" si="134"/>
        <v>0</v>
      </c>
      <c r="Q191">
        <f t="shared" si="135"/>
        <v>19.3</v>
      </c>
      <c r="R191">
        <f t="shared" si="136"/>
        <v>0</v>
      </c>
      <c r="S191">
        <f t="shared" si="137"/>
        <v>0</v>
      </c>
      <c r="T191">
        <f t="shared" si="138"/>
        <v>0</v>
      </c>
      <c r="U191">
        <f t="shared" si="139"/>
        <v>0</v>
      </c>
      <c r="V191">
        <f t="shared" si="140"/>
        <v>0</v>
      </c>
      <c r="W191">
        <f t="shared" si="141"/>
        <v>0</v>
      </c>
      <c r="X191">
        <f t="shared" si="142"/>
        <v>0</v>
      </c>
      <c r="Y191">
        <f t="shared" si="143"/>
        <v>0</v>
      </c>
      <c r="AA191">
        <v>44571020</v>
      </c>
      <c r="AB191">
        <f t="shared" si="144"/>
        <v>10.72</v>
      </c>
      <c r="AC191">
        <f t="shared" si="145"/>
        <v>0</v>
      </c>
      <c r="AD191">
        <f>ROUND((((ET191)-(EU191))+AE191),2)</f>
        <v>10.72</v>
      </c>
      <c r="AE191">
        <f>ROUND((EU191),2)</f>
        <v>0</v>
      </c>
      <c r="AF191">
        <f>ROUND((EV191),2)</f>
        <v>0</v>
      </c>
      <c r="AG191">
        <f t="shared" si="146"/>
        <v>0</v>
      </c>
      <c r="AH191">
        <f>(EW191)</f>
        <v>0</v>
      </c>
      <c r="AI191">
        <f>(EX191)</f>
        <v>0</v>
      </c>
      <c r="AJ191">
        <f t="shared" si="147"/>
        <v>0</v>
      </c>
      <c r="AK191">
        <v>10.72</v>
      </c>
      <c r="AL191">
        <v>0</v>
      </c>
      <c r="AM191">
        <v>10.72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1</v>
      </c>
      <c r="AW191">
        <v>1</v>
      </c>
      <c r="AZ191">
        <v>1</v>
      </c>
      <c r="BA191">
        <v>28.93</v>
      </c>
      <c r="BB191">
        <v>1</v>
      </c>
      <c r="BC191">
        <v>1</v>
      </c>
      <c r="BH191">
        <v>0</v>
      </c>
      <c r="BI191">
        <v>1</v>
      </c>
      <c r="BJ191" t="s">
        <v>272</v>
      </c>
      <c r="BM191">
        <v>700005</v>
      </c>
      <c r="BN191">
        <v>0</v>
      </c>
      <c r="BP191">
        <v>0</v>
      </c>
      <c r="BQ191">
        <v>10</v>
      </c>
      <c r="BR191">
        <v>0</v>
      </c>
      <c r="BS191">
        <v>28.93</v>
      </c>
      <c r="BT191">
        <v>1</v>
      </c>
      <c r="BU191">
        <v>1</v>
      </c>
      <c r="BV191">
        <v>1</v>
      </c>
      <c r="BW191">
        <v>1</v>
      </c>
      <c r="BX191">
        <v>1</v>
      </c>
      <c r="BZ191">
        <v>0</v>
      </c>
      <c r="CA191">
        <v>0</v>
      </c>
      <c r="CE191">
        <v>0</v>
      </c>
      <c r="CF191">
        <v>0</v>
      </c>
      <c r="CG191">
        <v>0</v>
      </c>
      <c r="CM191">
        <v>0</v>
      </c>
      <c r="CO191">
        <v>0</v>
      </c>
      <c r="CP191">
        <f t="shared" si="148"/>
        <v>19.3</v>
      </c>
      <c r="CQ191">
        <f t="shared" si="149"/>
        <v>0</v>
      </c>
      <c r="CR191">
        <f t="shared" si="150"/>
        <v>10.72</v>
      </c>
      <c r="CS191">
        <f t="shared" si="151"/>
        <v>0</v>
      </c>
      <c r="CT191">
        <f t="shared" si="152"/>
        <v>0</v>
      </c>
      <c r="CU191">
        <f t="shared" si="153"/>
        <v>0</v>
      </c>
      <c r="CV191">
        <f t="shared" si="154"/>
        <v>0</v>
      </c>
      <c r="CW191">
        <f t="shared" si="155"/>
        <v>0</v>
      </c>
      <c r="CX191">
        <f t="shared" si="156"/>
        <v>0</v>
      </c>
      <c r="CY191">
        <f t="shared" si="157"/>
        <v>0</v>
      </c>
      <c r="CZ191">
        <f t="shared" si="158"/>
        <v>0</v>
      </c>
      <c r="DN191">
        <v>0</v>
      </c>
      <c r="DO191">
        <v>0</v>
      </c>
      <c r="DP191">
        <v>1</v>
      </c>
      <c r="DQ191">
        <v>1</v>
      </c>
      <c r="DU191">
        <v>1013</v>
      </c>
      <c r="DV191" t="s">
        <v>61</v>
      </c>
      <c r="DW191" t="s">
        <v>61</v>
      </c>
      <c r="DX191">
        <v>1</v>
      </c>
      <c r="EE191">
        <v>37976244</v>
      </c>
      <c r="EF191">
        <v>10</v>
      </c>
      <c r="EG191" t="s">
        <v>69</v>
      </c>
      <c r="EH191">
        <v>107</v>
      </c>
      <c r="EI191" t="s">
        <v>273</v>
      </c>
      <c r="EJ191">
        <v>1</v>
      </c>
      <c r="EK191">
        <v>700005</v>
      </c>
      <c r="EL191" t="s">
        <v>273</v>
      </c>
      <c r="EM191" t="s">
        <v>274</v>
      </c>
      <c r="EQ191">
        <v>0</v>
      </c>
      <c r="ER191">
        <v>10.72</v>
      </c>
      <c r="ES191">
        <v>0</v>
      </c>
      <c r="ET191">
        <v>10.72</v>
      </c>
      <c r="EU191">
        <v>0</v>
      </c>
      <c r="EV191">
        <v>0</v>
      </c>
      <c r="EW191">
        <v>0</v>
      </c>
      <c r="EX191">
        <v>0</v>
      </c>
      <c r="EY191">
        <v>0</v>
      </c>
      <c r="FQ191">
        <v>0</v>
      </c>
      <c r="FR191">
        <f t="shared" si="159"/>
        <v>0</v>
      </c>
      <c r="FS191">
        <v>0</v>
      </c>
      <c r="FX191">
        <v>0</v>
      </c>
      <c r="FY191">
        <v>0</v>
      </c>
      <c r="GD191">
        <v>1</v>
      </c>
      <c r="GF191">
        <v>1416078264</v>
      </c>
      <c r="GG191">
        <v>2</v>
      </c>
      <c r="GH191">
        <v>1</v>
      </c>
      <c r="GI191">
        <v>4</v>
      </c>
      <c r="GJ191">
        <v>0</v>
      </c>
      <c r="GK191">
        <v>0</v>
      </c>
      <c r="GL191">
        <f t="shared" si="160"/>
        <v>0</v>
      </c>
      <c r="GM191">
        <f t="shared" si="161"/>
        <v>19.3</v>
      </c>
      <c r="GN191">
        <f t="shared" si="162"/>
        <v>19.3</v>
      </c>
      <c r="GO191">
        <f t="shared" si="163"/>
        <v>0</v>
      </c>
      <c r="GP191">
        <f t="shared" si="164"/>
        <v>0</v>
      </c>
      <c r="GR191">
        <v>0</v>
      </c>
      <c r="GS191">
        <v>3</v>
      </c>
      <c r="GT191">
        <v>0</v>
      </c>
      <c r="GV191">
        <f t="shared" si="165"/>
        <v>0</v>
      </c>
      <c r="GW191">
        <v>1</v>
      </c>
      <c r="GX191">
        <f t="shared" si="166"/>
        <v>0</v>
      </c>
      <c r="HA191">
        <v>0</v>
      </c>
      <c r="HB191">
        <v>0</v>
      </c>
      <c r="HC191">
        <f t="shared" si="167"/>
        <v>0</v>
      </c>
      <c r="HD191">
        <f>GM191</f>
        <v>19.3</v>
      </c>
      <c r="HI191">
        <f t="shared" si="168"/>
        <v>0</v>
      </c>
      <c r="HJ191">
        <f t="shared" si="169"/>
        <v>0</v>
      </c>
      <c r="HK191">
        <f t="shared" si="170"/>
        <v>0</v>
      </c>
      <c r="HL191">
        <f t="shared" si="171"/>
        <v>0</v>
      </c>
      <c r="IK191">
        <v>0</v>
      </c>
    </row>
    <row r="192" spans="1:245" ht="12.75">
      <c r="A192">
        <v>17</v>
      </c>
      <c r="B192">
        <v>1</v>
      </c>
      <c r="C192">
        <f>ROW(SmtRes!A174)</f>
        <v>174</v>
      </c>
      <c r="D192">
        <f>ROW(EtalonRes!A179)</f>
        <v>179</v>
      </c>
      <c r="E192" t="s">
        <v>275</v>
      </c>
      <c r="F192" t="s">
        <v>276</v>
      </c>
      <c r="G192" t="s">
        <v>277</v>
      </c>
      <c r="H192" t="s">
        <v>278</v>
      </c>
      <c r="I192">
        <f>ROUND(4.6/1000,7)</f>
        <v>0.0046</v>
      </c>
      <c r="J192">
        <v>0</v>
      </c>
      <c r="K192">
        <f>ROUND(4.6/1000,7)</f>
        <v>0.0046</v>
      </c>
      <c r="O192">
        <f t="shared" si="133"/>
        <v>225.4</v>
      </c>
      <c r="P192">
        <f t="shared" si="134"/>
        <v>195.96</v>
      </c>
      <c r="Q192">
        <f t="shared" si="135"/>
        <v>27.58</v>
      </c>
      <c r="R192">
        <f t="shared" si="136"/>
        <v>2.91</v>
      </c>
      <c r="S192">
        <f t="shared" si="137"/>
        <v>1.86</v>
      </c>
      <c r="T192">
        <f t="shared" si="138"/>
        <v>0</v>
      </c>
      <c r="U192">
        <f t="shared" si="139"/>
        <v>0.23462207999999998</v>
      </c>
      <c r="V192">
        <f t="shared" si="140"/>
        <v>0.23005152</v>
      </c>
      <c r="W192">
        <f t="shared" si="141"/>
        <v>0</v>
      </c>
      <c r="X192">
        <f t="shared" si="142"/>
        <v>7.01</v>
      </c>
      <c r="Y192">
        <f t="shared" si="143"/>
        <v>4.53</v>
      </c>
      <c r="AA192">
        <v>44571020</v>
      </c>
      <c r="AB192">
        <f t="shared" si="144"/>
        <v>49000.93</v>
      </c>
      <c r="AC192">
        <f t="shared" si="145"/>
        <v>42600.45</v>
      </c>
      <c r="AD192">
        <f>ROUND(((((ET192*ROUND((1.15*1.2),7)))-((EU192*ROUND((1.15*1.2),7))))+AE192),2)</f>
        <v>5995.51</v>
      </c>
      <c r="AE192">
        <f>ROUND(((EU192*ROUND((1.15*1.2),7))),2)</f>
        <v>632.14</v>
      </c>
      <c r="AF192">
        <f>ROUND(((EV192*ROUND((1.15*1.2),7))),2)</f>
        <v>404.97</v>
      </c>
      <c r="AG192">
        <f t="shared" si="146"/>
        <v>0</v>
      </c>
      <c r="AH192">
        <f>((EW192*ROUND((1.15*1.2),7)))</f>
        <v>51.004799999999996</v>
      </c>
      <c r="AI192">
        <f>((EX192*ROUND((1.15*1.2),7)))</f>
        <v>50.0112</v>
      </c>
      <c r="AJ192">
        <f t="shared" si="147"/>
        <v>0</v>
      </c>
      <c r="AK192">
        <v>47238.48</v>
      </c>
      <c r="AL192">
        <v>42600.45</v>
      </c>
      <c r="AM192">
        <v>4344.57</v>
      </c>
      <c r="AN192">
        <v>458.07</v>
      </c>
      <c r="AO192">
        <v>293.46</v>
      </c>
      <c r="AP192">
        <v>0</v>
      </c>
      <c r="AQ192">
        <v>36.96</v>
      </c>
      <c r="AR192">
        <v>36.24</v>
      </c>
      <c r="AS192">
        <v>0</v>
      </c>
      <c r="AT192">
        <v>147</v>
      </c>
      <c r="AU192">
        <v>95</v>
      </c>
      <c r="AV192">
        <v>1</v>
      </c>
      <c r="AW192">
        <v>1</v>
      </c>
      <c r="AZ192">
        <v>1</v>
      </c>
      <c r="BA192">
        <v>28.93</v>
      </c>
      <c r="BB192">
        <v>1</v>
      </c>
      <c r="BC192">
        <v>1</v>
      </c>
      <c r="BH192">
        <v>0</v>
      </c>
      <c r="BI192">
        <v>1</v>
      </c>
      <c r="BJ192" t="s">
        <v>279</v>
      </c>
      <c r="BM192">
        <v>27001</v>
      </c>
      <c r="BN192">
        <v>0</v>
      </c>
      <c r="BP192">
        <v>0</v>
      </c>
      <c r="BQ192">
        <v>2</v>
      </c>
      <c r="BR192">
        <v>0</v>
      </c>
      <c r="BS192">
        <v>28.93</v>
      </c>
      <c r="BT192">
        <v>1</v>
      </c>
      <c r="BU192">
        <v>1</v>
      </c>
      <c r="BV192">
        <v>1</v>
      </c>
      <c r="BW192">
        <v>1</v>
      </c>
      <c r="BX192">
        <v>1</v>
      </c>
      <c r="BZ192">
        <v>147</v>
      </c>
      <c r="CA192">
        <v>95</v>
      </c>
      <c r="CE192">
        <v>0</v>
      </c>
      <c r="CF192">
        <v>0</v>
      </c>
      <c r="CG192">
        <v>0</v>
      </c>
      <c r="CM192">
        <v>0</v>
      </c>
      <c r="CO192">
        <v>0</v>
      </c>
      <c r="CP192">
        <f t="shared" si="148"/>
        <v>225.40000000000003</v>
      </c>
      <c r="CQ192">
        <f t="shared" si="149"/>
        <v>42600.45</v>
      </c>
      <c r="CR192">
        <f t="shared" si="150"/>
        <v>5995.51</v>
      </c>
      <c r="CS192">
        <f t="shared" si="151"/>
        <v>632.14</v>
      </c>
      <c r="CT192">
        <f t="shared" si="152"/>
        <v>404.97</v>
      </c>
      <c r="CU192">
        <f t="shared" si="153"/>
        <v>0</v>
      </c>
      <c r="CV192">
        <f t="shared" si="154"/>
        <v>51.004799999999996</v>
      </c>
      <c r="CW192">
        <f t="shared" si="155"/>
        <v>50.0112</v>
      </c>
      <c r="CX192">
        <f t="shared" si="156"/>
        <v>0</v>
      </c>
      <c r="CY192">
        <f t="shared" si="157"/>
        <v>7.011900000000001</v>
      </c>
      <c r="CZ192">
        <f t="shared" si="158"/>
        <v>4.5315</v>
      </c>
      <c r="DE192" t="s">
        <v>86</v>
      </c>
      <c r="DF192" t="s">
        <v>86</v>
      </c>
      <c r="DG192" t="s">
        <v>86</v>
      </c>
      <c r="DI192" t="s">
        <v>86</v>
      </c>
      <c r="DJ192" t="s">
        <v>86</v>
      </c>
      <c r="DN192">
        <v>0</v>
      </c>
      <c r="DO192">
        <v>0</v>
      </c>
      <c r="DP192">
        <v>1</v>
      </c>
      <c r="DQ192">
        <v>1</v>
      </c>
      <c r="DU192">
        <v>1013</v>
      </c>
      <c r="DV192" t="s">
        <v>278</v>
      </c>
      <c r="DW192" t="s">
        <v>278</v>
      </c>
      <c r="DX192">
        <v>1</v>
      </c>
      <c r="EE192">
        <v>37976085</v>
      </c>
      <c r="EF192">
        <v>2</v>
      </c>
      <c r="EG192" t="s">
        <v>23</v>
      </c>
      <c r="EH192">
        <v>21</v>
      </c>
      <c r="EI192" t="s">
        <v>256</v>
      </c>
      <c r="EJ192">
        <v>1</v>
      </c>
      <c r="EK192">
        <v>27001</v>
      </c>
      <c r="EL192" t="s">
        <v>256</v>
      </c>
      <c r="EM192" t="s">
        <v>258</v>
      </c>
      <c r="EQ192">
        <v>0</v>
      </c>
      <c r="ER192">
        <v>47238.48</v>
      </c>
      <c r="ES192">
        <v>42600.45</v>
      </c>
      <c r="ET192">
        <v>4344.57</v>
      </c>
      <c r="EU192">
        <v>458.07</v>
      </c>
      <c r="EV192">
        <v>293.46</v>
      </c>
      <c r="EW192">
        <v>36.96</v>
      </c>
      <c r="EX192">
        <v>36.24</v>
      </c>
      <c r="EY192">
        <v>0</v>
      </c>
      <c r="FQ192">
        <v>0</v>
      </c>
      <c r="FR192">
        <f t="shared" si="159"/>
        <v>0</v>
      </c>
      <c r="FS192">
        <v>0</v>
      </c>
      <c r="FX192">
        <v>147</v>
      </c>
      <c r="FY192">
        <v>95</v>
      </c>
      <c r="GD192">
        <v>1</v>
      </c>
      <c r="GF192">
        <v>2034820425</v>
      </c>
      <c r="GG192">
        <v>2</v>
      </c>
      <c r="GH192">
        <v>1</v>
      </c>
      <c r="GI192">
        <v>4</v>
      </c>
      <c r="GJ192">
        <v>0</v>
      </c>
      <c r="GK192">
        <v>0</v>
      </c>
      <c r="GL192">
        <f t="shared" si="160"/>
        <v>0</v>
      </c>
      <c r="GM192">
        <f t="shared" si="161"/>
        <v>236.94</v>
      </c>
      <c r="GN192">
        <f t="shared" si="162"/>
        <v>236.94</v>
      </c>
      <c r="GO192">
        <f t="shared" si="163"/>
        <v>0</v>
      </c>
      <c r="GP192">
        <f t="shared" si="164"/>
        <v>0</v>
      </c>
      <c r="GR192">
        <v>0</v>
      </c>
      <c r="GS192">
        <v>3</v>
      </c>
      <c r="GT192">
        <v>0</v>
      </c>
      <c r="GV192">
        <f t="shared" si="165"/>
        <v>0</v>
      </c>
      <c r="GW192">
        <v>1</v>
      </c>
      <c r="GX192">
        <f t="shared" si="166"/>
        <v>0</v>
      </c>
      <c r="HA192">
        <v>0</v>
      </c>
      <c r="HB192">
        <v>0</v>
      </c>
      <c r="HC192">
        <f t="shared" si="167"/>
        <v>0</v>
      </c>
      <c r="HI192">
        <f t="shared" si="168"/>
        <v>84.19</v>
      </c>
      <c r="HJ192">
        <f t="shared" si="169"/>
        <v>53.81</v>
      </c>
      <c r="HK192">
        <f t="shared" si="170"/>
        <v>202.86</v>
      </c>
      <c r="HL192">
        <f t="shared" si="171"/>
        <v>131.1</v>
      </c>
      <c r="HN192" t="s">
        <v>259</v>
      </c>
      <c r="HO192" t="s">
        <v>260</v>
      </c>
      <c r="HP192" t="s">
        <v>256</v>
      </c>
      <c r="HQ192" t="s">
        <v>256</v>
      </c>
      <c r="IK192">
        <v>0</v>
      </c>
    </row>
    <row r="193" spans="1:245" ht="12.75">
      <c r="A193">
        <v>18</v>
      </c>
      <c r="B193">
        <v>1</v>
      </c>
      <c r="C193">
        <v>173</v>
      </c>
      <c r="E193" t="s">
        <v>280</v>
      </c>
      <c r="F193" t="s">
        <v>281</v>
      </c>
      <c r="G193" t="s">
        <v>282</v>
      </c>
      <c r="H193" t="s">
        <v>283</v>
      </c>
      <c r="I193">
        <f>I192*J193</f>
        <v>-0.8694</v>
      </c>
      <c r="J193">
        <v>-189</v>
      </c>
      <c r="K193">
        <v>-189</v>
      </c>
      <c r="O193">
        <f t="shared" si="133"/>
        <v>-173.53</v>
      </c>
      <c r="P193">
        <f t="shared" si="134"/>
        <v>-173.53</v>
      </c>
      <c r="Q193">
        <f t="shared" si="135"/>
        <v>0</v>
      </c>
      <c r="R193">
        <f t="shared" si="136"/>
        <v>0</v>
      </c>
      <c r="S193">
        <f t="shared" si="137"/>
        <v>0</v>
      </c>
      <c r="T193">
        <f t="shared" si="138"/>
        <v>0</v>
      </c>
      <c r="U193">
        <f t="shared" si="139"/>
        <v>0</v>
      </c>
      <c r="V193">
        <f t="shared" si="140"/>
        <v>0</v>
      </c>
      <c r="W193">
        <f t="shared" si="141"/>
        <v>0</v>
      </c>
      <c r="X193">
        <f t="shared" si="142"/>
        <v>0</v>
      </c>
      <c r="Y193">
        <f t="shared" si="143"/>
        <v>0</v>
      </c>
      <c r="AA193">
        <v>44571020</v>
      </c>
      <c r="AB193">
        <f t="shared" si="144"/>
        <v>199.6</v>
      </c>
      <c r="AC193">
        <f t="shared" si="145"/>
        <v>199.6</v>
      </c>
      <c r="AD193">
        <f>ROUND((((ET193)-(EU193))+AE193),2)</f>
        <v>0</v>
      </c>
      <c r="AE193">
        <f>ROUND((EU193),2)</f>
        <v>0</v>
      </c>
      <c r="AF193">
        <f>ROUND((EV193),2)</f>
        <v>0</v>
      </c>
      <c r="AG193">
        <f t="shared" si="146"/>
        <v>0</v>
      </c>
      <c r="AH193">
        <f>(EW193)</f>
        <v>0</v>
      </c>
      <c r="AI193">
        <f>(EX193)</f>
        <v>0</v>
      </c>
      <c r="AJ193">
        <f t="shared" si="147"/>
        <v>0</v>
      </c>
      <c r="AK193">
        <v>199.6</v>
      </c>
      <c r="AL193">
        <v>199.6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v>1</v>
      </c>
      <c r="BH193">
        <v>3</v>
      </c>
      <c r="BI193">
        <v>1</v>
      </c>
      <c r="BJ193" t="s">
        <v>284</v>
      </c>
      <c r="BM193">
        <v>500001</v>
      </c>
      <c r="BN193">
        <v>0</v>
      </c>
      <c r="BP193">
        <v>0</v>
      </c>
      <c r="BQ193">
        <v>8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Z193">
        <v>0</v>
      </c>
      <c r="CA193">
        <v>0</v>
      </c>
      <c r="CE193">
        <v>0</v>
      </c>
      <c r="CF193">
        <v>0</v>
      </c>
      <c r="CG193">
        <v>0</v>
      </c>
      <c r="CM193">
        <v>0</v>
      </c>
      <c r="CO193">
        <v>0</v>
      </c>
      <c r="CP193">
        <f t="shared" si="148"/>
        <v>-173.53</v>
      </c>
      <c r="CQ193">
        <f t="shared" si="149"/>
        <v>199.6</v>
      </c>
      <c r="CR193">
        <f t="shared" si="150"/>
        <v>0</v>
      </c>
      <c r="CS193">
        <f t="shared" si="151"/>
        <v>0</v>
      </c>
      <c r="CT193">
        <f t="shared" si="152"/>
        <v>0</v>
      </c>
      <c r="CU193">
        <f t="shared" si="153"/>
        <v>0</v>
      </c>
      <c r="CV193">
        <f t="shared" si="154"/>
        <v>0</v>
      </c>
      <c r="CW193">
        <f t="shared" si="155"/>
        <v>0</v>
      </c>
      <c r="CX193">
        <f t="shared" si="156"/>
        <v>0</v>
      </c>
      <c r="CY193">
        <f t="shared" si="157"/>
        <v>0</v>
      </c>
      <c r="CZ193">
        <f t="shared" si="158"/>
        <v>0</v>
      </c>
      <c r="DN193">
        <v>0</v>
      </c>
      <c r="DO193">
        <v>0</v>
      </c>
      <c r="DP193">
        <v>1</v>
      </c>
      <c r="DQ193">
        <v>1</v>
      </c>
      <c r="DU193">
        <v>1007</v>
      </c>
      <c r="DV193" t="s">
        <v>283</v>
      </c>
      <c r="DW193" t="s">
        <v>283</v>
      </c>
      <c r="DX193">
        <v>1</v>
      </c>
      <c r="EE193">
        <v>37975977</v>
      </c>
      <c r="EF193">
        <v>8</v>
      </c>
      <c r="EG193" t="s">
        <v>285</v>
      </c>
      <c r="EH193">
        <v>0</v>
      </c>
      <c r="EJ193">
        <v>1</v>
      </c>
      <c r="EK193">
        <v>500001</v>
      </c>
      <c r="EL193" t="s">
        <v>286</v>
      </c>
      <c r="EM193" t="s">
        <v>287</v>
      </c>
      <c r="EQ193">
        <v>32768</v>
      </c>
      <c r="ER193">
        <v>199.6</v>
      </c>
      <c r="ES193">
        <v>199.6</v>
      </c>
      <c r="ET193">
        <v>0</v>
      </c>
      <c r="EU193">
        <v>0</v>
      </c>
      <c r="EV193">
        <v>0</v>
      </c>
      <c r="EW193">
        <v>0</v>
      </c>
      <c r="EX193">
        <v>0</v>
      </c>
      <c r="FQ193">
        <v>0</v>
      </c>
      <c r="FR193">
        <f t="shared" si="159"/>
        <v>0</v>
      </c>
      <c r="FS193">
        <v>0</v>
      </c>
      <c r="FX193">
        <v>0</v>
      </c>
      <c r="FY193">
        <v>0</v>
      </c>
      <c r="GD193">
        <v>1</v>
      </c>
      <c r="GF193">
        <v>-565367017</v>
      </c>
      <c r="GG193">
        <v>2</v>
      </c>
      <c r="GH193">
        <v>1</v>
      </c>
      <c r="GI193">
        <v>4</v>
      </c>
      <c r="GJ193">
        <v>0</v>
      </c>
      <c r="GK193">
        <v>0</v>
      </c>
      <c r="GL193">
        <f t="shared" si="160"/>
        <v>0</v>
      </c>
      <c r="GM193">
        <f t="shared" si="161"/>
        <v>-173.53</v>
      </c>
      <c r="GN193">
        <f t="shared" si="162"/>
        <v>-173.53</v>
      </c>
      <c r="GO193">
        <f t="shared" si="163"/>
        <v>0</v>
      </c>
      <c r="GP193">
        <f t="shared" si="164"/>
        <v>0</v>
      </c>
      <c r="GR193">
        <v>0</v>
      </c>
      <c r="GS193">
        <v>3</v>
      </c>
      <c r="GT193">
        <v>0</v>
      </c>
      <c r="GV193">
        <f t="shared" si="165"/>
        <v>0</v>
      </c>
      <c r="GW193">
        <v>1</v>
      </c>
      <c r="GX193">
        <f t="shared" si="166"/>
        <v>0</v>
      </c>
      <c r="HA193">
        <v>0</v>
      </c>
      <c r="HB193">
        <v>0</v>
      </c>
      <c r="HC193">
        <f t="shared" si="167"/>
        <v>0</v>
      </c>
      <c r="HI193">
        <f t="shared" si="168"/>
        <v>0</v>
      </c>
      <c r="HJ193">
        <f t="shared" si="169"/>
        <v>0</v>
      </c>
      <c r="HK193">
        <f t="shared" si="170"/>
        <v>0</v>
      </c>
      <c r="HL193">
        <f t="shared" si="171"/>
        <v>0</v>
      </c>
      <c r="IK193">
        <v>0</v>
      </c>
    </row>
    <row r="194" spans="1:245" ht="12.75">
      <c r="A194">
        <v>18</v>
      </c>
      <c r="B194">
        <v>1</v>
      </c>
      <c r="C194">
        <v>172</v>
      </c>
      <c r="E194" t="s">
        <v>288</v>
      </c>
      <c r="F194" t="s">
        <v>289</v>
      </c>
      <c r="G194" t="s">
        <v>290</v>
      </c>
      <c r="H194" t="s">
        <v>283</v>
      </c>
      <c r="I194">
        <f>I192*J194</f>
        <v>-0.069</v>
      </c>
      <c r="J194">
        <v>-15.000000000000002</v>
      </c>
      <c r="K194">
        <v>-15</v>
      </c>
      <c r="O194">
        <f t="shared" si="133"/>
        <v>-21.56</v>
      </c>
      <c r="P194">
        <f t="shared" si="134"/>
        <v>-21.56</v>
      </c>
      <c r="Q194">
        <f t="shared" si="135"/>
        <v>0</v>
      </c>
      <c r="R194">
        <f t="shared" si="136"/>
        <v>0</v>
      </c>
      <c r="S194">
        <f t="shared" si="137"/>
        <v>0</v>
      </c>
      <c r="T194">
        <f t="shared" si="138"/>
        <v>0</v>
      </c>
      <c r="U194">
        <f t="shared" si="139"/>
        <v>0</v>
      </c>
      <c r="V194">
        <f t="shared" si="140"/>
        <v>0</v>
      </c>
      <c r="W194">
        <f t="shared" si="141"/>
        <v>0</v>
      </c>
      <c r="X194">
        <f t="shared" si="142"/>
        <v>0</v>
      </c>
      <c r="Y194">
        <f t="shared" si="143"/>
        <v>0</v>
      </c>
      <c r="AA194">
        <v>44571020</v>
      </c>
      <c r="AB194">
        <f t="shared" si="144"/>
        <v>312.47</v>
      </c>
      <c r="AC194">
        <f t="shared" si="145"/>
        <v>312.47</v>
      </c>
      <c r="AD194">
        <f>ROUND((((ET194)-(EU194))+AE194),2)</f>
        <v>0</v>
      </c>
      <c r="AE194">
        <f>ROUND((EU194),2)</f>
        <v>0</v>
      </c>
      <c r="AF194">
        <f>ROUND((EV194),2)</f>
        <v>0</v>
      </c>
      <c r="AG194">
        <f t="shared" si="146"/>
        <v>0</v>
      </c>
      <c r="AH194">
        <f>(EW194)</f>
        <v>0</v>
      </c>
      <c r="AI194">
        <f>(EX194)</f>
        <v>0</v>
      </c>
      <c r="AJ194">
        <f t="shared" si="147"/>
        <v>0</v>
      </c>
      <c r="AK194">
        <v>312.47</v>
      </c>
      <c r="AL194">
        <v>312.47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1</v>
      </c>
      <c r="AW194">
        <v>1</v>
      </c>
      <c r="AZ194">
        <v>1</v>
      </c>
      <c r="BA194">
        <v>1</v>
      </c>
      <c r="BB194">
        <v>1</v>
      </c>
      <c r="BC194">
        <v>1</v>
      </c>
      <c r="BH194">
        <v>3</v>
      </c>
      <c r="BI194">
        <v>1</v>
      </c>
      <c r="BJ194" t="s">
        <v>291</v>
      </c>
      <c r="BM194">
        <v>500001</v>
      </c>
      <c r="BN194">
        <v>0</v>
      </c>
      <c r="BP194">
        <v>0</v>
      </c>
      <c r="BQ194">
        <v>8</v>
      </c>
      <c r="BR194">
        <v>1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Z194">
        <v>0</v>
      </c>
      <c r="CA194">
        <v>0</v>
      </c>
      <c r="CE194">
        <v>0</v>
      </c>
      <c r="CF194">
        <v>0</v>
      </c>
      <c r="CG194">
        <v>0</v>
      </c>
      <c r="CM194">
        <v>0</v>
      </c>
      <c r="CO194">
        <v>0</v>
      </c>
      <c r="CP194">
        <f t="shared" si="148"/>
        <v>-21.56</v>
      </c>
      <c r="CQ194">
        <f t="shared" si="149"/>
        <v>312.47</v>
      </c>
      <c r="CR194">
        <f t="shared" si="150"/>
        <v>0</v>
      </c>
      <c r="CS194">
        <f t="shared" si="151"/>
        <v>0</v>
      </c>
      <c r="CT194">
        <f t="shared" si="152"/>
        <v>0</v>
      </c>
      <c r="CU194">
        <f t="shared" si="153"/>
        <v>0</v>
      </c>
      <c r="CV194">
        <f t="shared" si="154"/>
        <v>0</v>
      </c>
      <c r="CW194">
        <f t="shared" si="155"/>
        <v>0</v>
      </c>
      <c r="CX194">
        <f t="shared" si="156"/>
        <v>0</v>
      </c>
      <c r="CY194">
        <f t="shared" si="157"/>
        <v>0</v>
      </c>
      <c r="CZ194">
        <f t="shared" si="158"/>
        <v>0</v>
      </c>
      <c r="DN194">
        <v>0</v>
      </c>
      <c r="DO194">
        <v>0</v>
      </c>
      <c r="DP194">
        <v>1</v>
      </c>
      <c r="DQ194">
        <v>1</v>
      </c>
      <c r="DU194">
        <v>1007</v>
      </c>
      <c r="DV194" t="s">
        <v>283</v>
      </c>
      <c r="DW194" t="s">
        <v>283</v>
      </c>
      <c r="DX194">
        <v>1</v>
      </c>
      <c r="EE194">
        <v>37975977</v>
      </c>
      <c r="EF194">
        <v>8</v>
      </c>
      <c r="EG194" t="s">
        <v>285</v>
      </c>
      <c r="EH194">
        <v>0</v>
      </c>
      <c r="EJ194">
        <v>1</v>
      </c>
      <c r="EK194">
        <v>500001</v>
      </c>
      <c r="EL194" t="s">
        <v>286</v>
      </c>
      <c r="EM194" t="s">
        <v>287</v>
      </c>
      <c r="EQ194">
        <v>32768</v>
      </c>
      <c r="ER194">
        <v>312.47</v>
      </c>
      <c r="ES194">
        <v>312.47</v>
      </c>
      <c r="ET194">
        <v>0</v>
      </c>
      <c r="EU194">
        <v>0</v>
      </c>
      <c r="EV194">
        <v>0</v>
      </c>
      <c r="EW194">
        <v>0</v>
      </c>
      <c r="EX194">
        <v>0</v>
      </c>
      <c r="FQ194">
        <v>0</v>
      </c>
      <c r="FR194">
        <f t="shared" si="159"/>
        <v>0</v>
      </c>
      <c r="FS194">
        <v>0</v>
      </c>
      <c r="FX194">
        <v>0</v>
      </c>
      <c r="FY194">
        <v>0</v>
      </c>
      <c r="GD194">
        <v>1</v>
      </c>
      <c r="GF194">
        <v>-562267757</v>
      </c>
      <c r="GG194">
        <v>2</v>
      </c>
      <c r="GH194">
        <v>1</v>
      </c>
      <c r="GI194">
        <v>4</v>
      </c>
      <c r="GJ194">
        <v>0</v>
      </c>
      <c r="GK194">
        <v>0</v>
      </c>
      <c r="GL194">
        <f t="shared" si="160"/>
        <v>0</v>
      </c>
      <c r="GM194">
        <f t="shared" si="161"/>
        <v>-21.56</v>
      </c>
      <c r="GN194">
        <f t="shared" si="162"/>
        <v>-21.56</v>
      </c>
      <c r="GO194">
        <f t="shared" si="163"/>
        <v>0</v>
      </c>
      <c r="GP194">
        <f t="shared" si="164"/>
        <v>0</v>
      </c>
      <c r="GR194">
        <v>0</v>
      </c>
      <c r="GS194">
        <v>3</v>
      </c>
      <c r="GT194">
        <v>0</v>
      </c>
      <c r="GV194">
        <f t="shared" si="165"/>
        <v>0</v>
      </c>
      <c r="GW194">
        <v>1</v>
      </c>
      <c r="GX194">
        <f t="shared" si="166"/>
        <v>0</v>
      </c>
      <c r="HA194">
        <v>0</v>
      </c>
      <c r="HB194">
        <v>0</v>
      </c>
      <c r="HC194">
        <f t="shared" si="167"/>
        <v>0</v>
      </c>
      <c r="HI194">
        <f t="shared" si="168"/>
        <v>0</v>
      </c>
      <c r="HJ194">
        <f t="shared" si="169"/>
        <v>0</v>
      </c>
      <c r="HK194">
        <f t="shared" si="170"/>
        <v>0</v>
      </c>
      <c r="HL194">
        <f t="shared" si="171"/>
        <v>0</v>
      </c>
      <c r="IK194">
        <v>0</v>
      </c>
    </row>
    <row r="195" spans="1:245" ht="12.75">
      <c r="A195">
        <v>17</v>
      </c>
      <c r="B195">
        <v>1</v>
      </c>
      <c r="C195">
        <f>ROW(SmtRes!A179)</f>
        <v>179</v>
      </c>
      <c r="D195">
        <f>ROW(EtalonRes!A184)</f>
        <v>184</v>
      </c>
      <c r="E195" t="s">
        <v>292</v>
      </c>
      <c r="F195" t="s">
        <v>293</v>
      </c>
      <c r="G195" t="s">
        <v>294</v>
      </c>
      <c r="H195" t="s">
        <v>278</v>
      </c>
      <c r="I195">
        <f>ROUND(4.6/1000,7)</f>
        <v>0.0046</v>
      </c>
      <c r="J195">
        <v>0</v>
      </c>
      <c r="K195">
        <f>ROUND(4.6/1000,7)</f>
        <v>0.0046</v>
      </c>
      <c r="O195">
        <f t="shared" si="133"/>
        <v>66.63</v>
      </c>
      <c r="P195">
        <f t="shared" si="134"/>
        <v>57.84</v>
      </c>
      <c r="Q195">
        <f t="shared" si="135"/>
        <v>8.79</v>
      </c>
      <c r="R195">
        <f t="shared" si="136"/>
        <v>0.93</v>
      </c>
      <c r="S195">
        <f t="shared" si="137"/>
        <v>0</v>
      </c>
      <c r="T195">
        <f t="shared" si="138"/>
        <v>0</v>
      </c>
      <c r="U195">
        <f t="shared" si="139"/>
        <v>0</v>
      </c>
      <c r="V195">
        <f t="shared" si="140"/>
        <v>0.0796674</v>
      </c>
      <c r="W195">
        <f t="shared" si="141"/>
        <v>0</v>
      </c>
      <c r="X195">
        <f t="shared" si="142"/>
        <v>1.37</v>
      </c>
      <c r="Y195">
        <f t="shared" si="143"/>
        <v>0.88</v>
      </c>
      <c r="AA195">
        <v>44571020</v>
      </c>
      <c r="AB195">
        <f t="shared" si="144"/>
        <v>14486.65</v>
      </c>
      <c r="AC195">
        <f>ROUND(((ES195*ROUND(5,7))),2)</f>
        <v>12574.8</v>
      </c>
      <c r="AD195">
        <f>ROUND(((((ET195*ROUND((1.15*5*1.2),7)))-((EU195*ROUND((1.15*5*1.2),7))))+AE195),2)</f>
        <v>1911.85</v>
      </c>
      <c r="AE195">
        <f>ROUND(((EU195*ROUND((1.15*5*1.2),7))),2)</f>
        <v>202.1</v>
      </c>
      <c r="AF195">
        <f>ROUND(((EV195*ROUND((1.15*5*1.2),7))),2)</f>
        <v>0</v>
      </c>
      <c r="AG195">
        <f t="shared" si="146"/>
        <v>0</v>
      </c>
      <c r="AH195">
        <f>((EW195*ROUND((1.15*5*1.2),7)))</f>
        <v>0</v>
      </c>
      <c r="AI195">
        <f>((EX195*ROUND((1.15*5*1.2),7)))</f>
        <v>17.319</v>
      </c>
      <c r="AJ195">
        <f t="shared" si="147"/>
        <v>0</v>
      </c>
      <c r="AK195">
        <v>2792.04</v>
      </c>
      <c r="AL195">
        <v>2514.96</v>
      </c>
      <c r="AM195">
        <v>277.08</v>
      </c>
      <c r="AN195">
        <v>29.29</v>
      </c>
      <c r="AO195">
        <v>0</v>
      </c>
      <c r="AP195">
        <v>0</v>
      </c>
      <c r="AQ195">
        <v>0</v>
      </c>
      <c r="AR195">
        <v>2.51</v>
      </c>
      <c r="AS195">
        <v>0</v>
      </c>
      <c r="AT195">
        <v>147</v>
      </c>
      <c r="AU195">
        <v>95</v>
      </c>
      <c r="AV195">
        <v>1</v>
      </c>
      <c r="AW195">
        <v>1</v>
      </c>
      <c r="AZ195">
        <v>1</v>
      </c>
      <c r="BA195">
        <v>28.93</v>
      </c>
      <c r="BB195">
        <v>1</v>
      </c>
      <c r="BC195">
        <v>1</v>
      </c>
      <c r="BH195">
        <v>0</v>
      </c>
      <c r="BI195">
        <v>1</v>
      </c>
      <c r="BJ195" t="s">
        <v>295</v>
      </c>
      <c r="BM195">
        <v>27001</v>
      </c>
      <c r="BN195">
        <v>0</v>
      </c>
      <c r="BP195">
        <v>0</v>
      </c>
      <c r="BQ195">
        <v>2</v>
      </c>
      <c r="BR195">
        <v>0</v>
      </c>
      <c r="BS195">
        <v>28.93</v>
      </c>
      <c r="BT195">
        <v>1</v>
      </c>
      <c r="BU195">
        <v>1</v>
      </c>
      <c r="BV195">
        <v>1</v>
      </c>
      <c r="BW195">
        <v>1</v>
      </c>
      <c r="BX195">
        <v>1</v>
      </c>
      <c r="BZ195">
        <v>147</v>
      </c>
      <c r="CA195">
        <v>95</v>
      </c>
      <c r="CE195">
        <v>0</v>
      </c>
      <c r="CF195">
        <v>0</v>
      </c>
      <c r="CG195">
        <v>0</v>
      </c>
      <c r="CM195">
        <v>0</v>
      </c>
      <c r="CO195">
        <v>0</v>
      </c>
      <c r="CP195">
        <f t="shared" si="148"/>
        <v>66.63</v>
      </c>
      <c r="CQ195">
        <f t="shared" si="149"/>
        <v>12574.8</v>
      </c>
      <c r="CR195">
        <f t="shared" si="150"/>
        <v>1911.85</v>
      </c>
      <c r="CS195">
        <f t="shared" si="151"/>
        <v>202.1</v>
      </c>
      <c r="CT195">
        <f t="shared" si="152"/>
        <v>0</v>
      </c>
      <c r="CU195">
        <f t="shared" si="153"/>
        <v>0</v>
      </c>
      <c r="CV195">
        <f t="shared" si="154"/>
        <v>0</v>
      </c>
      <c r="CW195">
        <f t="shared" si="155"/>
        <v>17.319</v>
      </c>
      <c r="CX195">
        <f t="shared" si="156"/>
        <v>0</v>
      </c>
      <c r="CY195">
        <f t="shared" si="157"/>
        <v>1.3671</v>
      </c>
      <c r="CZ195">
        <f t="shared" si="158"/>
        <v>0.8835000000000001</v>
      </c>
      <c r="DD195" t="s">
        <v>296</v>
      </c>
      <c r="DE195" t="s">
        <v>297</v>
      </c>
      <c r="DF195" t="s">
        <v>297</v>
      </c>
      <c r="DG195" t="s">
        <v>297</v>
      </c>
      <c r="DI195" t="s">
        <v>297</v>
      </c>
      <c r="DJ195" t="s">
        <v>297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278</v>
      </c>
      <c r="DW195" t="s">
        <v>278</v>
      </c>
      <c r="DX195">
        <v>1</v>
      </c>
      <c r="EE195">
        <v>37976085</v>
      </c>
      <c r="EF195">
        <v>2</v>
      </c>
      <c r="EG195" t="s">
        <v>23</v>
      </c>
      <c r="EH195">
        <v>21</v>
      </c>
      <c r="EI195" t="s">
        <v>256</v>
      </c>
      <c r="EJ195">
        <v>1</v>
      </c>
      <c r="EK195">
        <v>27001</v>
      </c>
      <c r="EL195" t="s">
        <v>256</v>
      </c>
      <c r="EM195" t="s">
        <v>258</v>
      </c>
      <c r="EQ195">
        <v>0</v>
      </c>
      <c r="ER195">
        <v>2792.04</v>
      </c>
      <c r="ES195">
        <v>2514.96</v>
      </c>
      <c r="ET195">
        <v>277.08</v>
      </c>
      <c r="EU195">
        <v>29.29</v>
      </c>
      <c r="EV195">
        <v>0</v>
      </c>
      <c r="EW195">
        <v>0</v>
      </c>
      <c r="EX195">
        <v>2.51</v>
      </c>
      <c r="EY195">
        <v>0</v>
      </c>
      <c r="FQ195">
        <v>0</v>
      </c>
      <c r="FR195">
        <f t="shared" si="159"/>
        <v>0</v>
      </c>
      <c r="FS195">
        <v>0</v>
      </c>
      <c r="FX195">
        <v>147</v>
      </c>
      <c r="FY195">
        <v>95</v>
      </c>
      <c r="GD195">
        <v>1</v>
      </c>
      <c r="GF195">
        <v>-1371778637</v>
      </c>
      <c r="GG195">
        <v>2</v>
      </c>
      <c r="GH195">
        <v>1</v>
      </c>
      <c r="GI195">
        <v>4</v>
      </c>
      <c r="GJ195">
        <v>0</v>
      </c>
      <c r="GK195">
        <v>0</v>
      </c>
      <c r="GL195">
        <f t="shared" si="160"/>
        <v>0</v>
      </c>
      <c r="GM195">
        <f t="shared" si="161"/>
        <v>68.88</v>
      </c>
      <c r="GN195">
        <f t="shared" si="162"/>
        <v>68.88</v>
      </c>
      <c r="GO195">
        <f t="shared" si="163"/>
        <v>0</v>
      </c>
      <c r="GP195">
        <f t="shared" si="164"/>
        <v>0</v>
      </c>
      <c r="GR195">
        <v>0</v>
      </c>
      <c r="GS195">
        <v>3</v>
      </c>
      <c r="GT195">
        <v>0</v>
      </c>
      <c r="GV195">
        <f t="shared" si="165"/>
        <v>0</v>
      </c>
      <c r="GW195">
        <v>1</v>
      </c>
      <c r="GX195">
        <f t="shared" si="166"/>
        <v>0</v>
      </c>
      <c r="HA195">
        <v>0</v>
      </c>
      <c r="HB195">
        <v>0</v>
      </c>
      <c r="HC195">
        <f t="shared" si="167"/>
        <v>0</v>
      </c>
      <c r="HI195">
        <f t="shared" si="168"/>
        <v>26.9</v>
      </c>
      <c r="HJ195">
        <f t="shared" si="169"/>
        <v>0</v>
      </c>
      <c r="HK195">
        <f t="shared" si="170"/>
        <v>39.54</v>
      </c>
      <c r="HL195">
        <f t="shared" si="171"/>
        <v>25.56</v>
      </c>
      <c r="HN195" t="s">
        <v>259</v>
      </c>
      <c r="HO195" t="s">
        <v>260</v>
      </c>
      <c r="HP195" t="s">
        <v>256</v>
      </c>
      <c r="HQ195" t="s">
        <v>256</v>
      </c>
      <c r="IK195">
        <v>0</v>
      </c>
    </row>
    <row r="196" spans="1:245" ht="12.75">
      <c r="A196">
        <v>18</v>
      </c>
      <c r="B196">
        <v>1</v>
      </c>
      <c r="C196">
        <v>179</v>
      </c>
      <c r="E196" t="s">
        <v>298</v>
      </c>
      <c r="F196" t="s">
        <v>281</v>
      </c>
      <c r="G196" t="s">
        <v>282</v>
      </c>
      <c r="H196" t="s">
        <v>283</v>
      </c>
      <c r="I196">
        <f>I195*J196</f>
        <v>-0.2898</v>
      </c>
      <c r="J196">
        <v>-63</v>
      </c>
      <c r="K196">
        <v>-12.6</v>
      </c>
      <c r="O196">
        <f t="shared" si="133"/>
        <v>-57.84</v>
      </c>
      <c r="P196">
        <f t="shared" si="134"/>
        <v>-57.84</v>
      </c>
      <c r="Q196">
        <f t="shared" si="135"/>
        <v>0</v>
      </c>
      <c r="R196">
        <f t="shared" si="136"/>
        <v>0</v>
      </c>
      <c r="S196">
        <f t="shared" si="137"/>
        <v>0</v>
      </c>
      <c r="T196">
        <f t="shared" si="138"/>
        <v>0</v>
      </c>
      <c r="U196">
        <f t="shared" si="139"/>
        <v>0</v>
      </c>
      <c r="V196">
        <f t="shared" si="140"/>
        <v>0</v>
      </c>
      <c r="W196">
        <f t="shared" si="141"/>
        <v>0</v>
      </c>
      <c r="X196">
        <f t="shared" si="142"/>
        <v>0</v>
      </c>
      <c r="Y196">
        <f t="shared" si="143"/>
        <v>0</v>
      </c>
      <c r="AA196">
        <v>44571020</v>
      </c>
      <c r="AB196">
        <f t="shared" si="144"/>
        <v>199.6</v>
      </c>
      <c r="AC196">
        <f aca="true" t="shared" si="172" ref="AC196:AC204">ROUND((ES196),2)</f>
        <v>199.6</v>
      </c>
      <c r="AD196">
        <f>ROUND((((ET196)-(EU196))+AE196),2)</f>
        <v>0</v>
      </c>
      <c r="AE196">
        <f>ROUND((EU196),2)</f>
        <v>0</v>
      </c>
      <c r="AF196">
        <f>ROUND((EV196),2)</f>
        <v>0</v>
      </c>
      <c r="AG196">
        <f t="shared" si="146"/>
        <v>0</v>
      </c>
      <c r="AH196">
        <f>(EW196)</f>
        <v>0</v>
      </c>
      <c r="AI196">
        <f>(EX196)</f>
        <v>0</v>
      </c>
      <c r="AJ196">
        <f t="shared" si="147"/>
        <v>0</v>
      </c>
      <c r="AK196">
        <v>199.6</v>
      </c>
      <c r="AL196">
        <v>199.6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1</v>
      </c>
      <c r="AW196">
        <v>1</v>
      </c>
      <c r="AZ196">
        <v>1</v>
      </c>
      <c r="BA196">
        <v>1</v>
      </c>
      <c r="BB196">
        <v>1</v>
      </c>
      <c r="BC196">
        <v>1</v>
      </c>
      <c r="BH196">
        <v>3</v>
      </c>
      <c r="BI196">
        <v>1</v>
      </c>
      <c r="BJ196" t="s">
        <v>284</v>
      </c>
      <c r="BM196">
        <v>500001</v>
      </c>
      <c r="BN196">
        <v>0</v>
      </c>
      <c r="BP196">
        <v>0</v>
      </c>
      <c r="BQ196">
        <v>8</v>
      </c>
      <c r="BR196">
        <v>1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Z196">
        <v>0</v>
      </c>
      <c r="CA196">
        <v>0</v>
      </c>
      <c r="CE196">
        <v>0</v>
      </c>
      <c r="CF196">
        <v>0</v>
      </c>
      <c r="CG196">
        <v>0</v>
      </c>
      <c r="CM196">
        <v>0</v>
      </c>
      <c r="CO196">
        <v>0</v>
      </c>
      <c r="CP196">
        <f t="shared" si="148"/>
        <v>-57.84</v>
      </c>
      <c r="CQ196">
        <f t="shared" si="149"/>
        <v>199.6</v>
      </c>
      <c r="CR196">
        <f t="shared" si="150"/>
        <v>0</v>
      </c>
      <c r="CS196">
        <f t="shared" si="151"/>
        <v>0</v>
      </c>
      <c r="CT196">
        <f t="shared" si="152"/>
        <v>0</v>
      </c>
      <c r="CU196">
        <f t="shared" si="153"/>
        <v>0</v>
      </c>
      <c r="CV196">
        <f t="shared" si="154"/>
        <v>0</v>
      </c>
      <c r="CW196">
        <f t="shared" si="155"/>
        <v>0</v>
      </c>
      <c r="CX196">
        <f t="shared" si="156"/>
        <v>0</v>
      </c>
      <c r="CY196">
        <f t="shared" si="157"/>
        <v>0</v>
      </c>
      <c r="CZ196">
        <f t="shared" si="158"/>
        <v>0</v>
      </c>
      <c r="DN196">
        <v>0</v>
      </c>
      <c r="DO196">
        <v>0</v>
      </c>
      <c r="DP196">
        <v>1</v>
      </c>
      <c r="DQ196">
        <v>1</v>
      </c>
      <c r="DU196">
        <v>1007</v>
      </c>
      <c r="DV196" t="s">
        <v>283</v>
      </c>
      <c r="DW196" t="s">
        <v>283</v>
      </c>
      <c r="DX196">
        <v>1</v>
      </c>
      <c r="EE196">
        <v>37975977</v>
      </c>
      <c r="EF196">
        <v>8</v>
      </c>
      <c r="EG196" t="s">
        <v>285</v>
      </c>
      <c r="EH196">
        <v>0</v>
      </c>
      <c r="EJ196">
        <v>1</v>
      </c>
      <c r="EK196">
        <v>500001</v>
      </c>
      <c r="EL196" t="s">
        <v>286</v>
      </c>
      <c r="EM196" t="s">
        <v>287</v>
      </c>
      <c r="EQ196">
        <v>32768</v>
      </c>
      <c r="ER196">
        <v>199.6</v>
      </c>
      <c r="ES196">
        <v>199.6</v>
      </c>
      <c r="ET196">
        <v>0</v>
      </c>
      <c r="EU196">
        <v>0</v>
      </c>
      <c r="EV196">
        <v>0</v>
      </c>
      <c r="EW196">
        <v>0</v>
      </c>
      <c r="EX196">
        <v>0</v>
      </c>
      <c r="FQ196">
        <v>0</v>
      </c>
      <c r="FR196">
        <f t="shared" si="159"/>
        <v>0</v>
      </c>
      <c r="FS196">
        <v>0</v>
      </c>
      <c r="FX196">
        <v>0</v>
      </c>
      <c r="FY196">
        <v>0</v>
      </c>
      <c r="GD196">
        <v>1</v>
      </c>
      <c r="GF196">
        <v>-565367017</v>
      </c>
      <c r="GG196">
        <v>2</v>
      </c>
      <c r="GH196">
        <v>1</v>
      </c>
      <c r="GI196">
        <v>4</v>
      </c>
      <c r="GJ196">
        <v>0</v>
      </c>
      <c r="GK196">
        <v>0</v>
      </c>
      <c r="GL196">
        <f t="shared" si="160"/>
        <v>0</v>
      </c>
      <c r="GM196">
        <f t="shared" si="161"/>
        <v>-57.84</v>
      </c>
      <c r="GN196">
        <f t="shared" si="162"/>
        <v>-57.84</v>
      </c>
      <c r="GO196">
        <f t="shared" si="163"/>
        <v>0</v>
      </c>
      <c r="GP196">
        <f t="shared" si="164"/>
        <v>0</v>
      </c>
      <c r="GR196">
        <v>0</v>
      </c>
      <c r="GS196">
        <v>3</v>
      </c>
      <c r="GT196">
        <v>0</v>
      </c>
      <c r="GV196">
        <f t="shared" si="165"/>
        <v>0</v>
      </c>
      <c r="GW196">
        <v>1</v>
      </c>
      <c r="GX196">
        <f t="shared" si="166"/>
        <v>0</v>
      </c>
      <c r="HA196">
        <v>0</v>
      </c>
      <c r="HB196">
        <v>0</v>
      </c>
      <c r="HC196">
        <f t="shared" si="167"/>
        <v>0</v>
      </c>
      <c r="HI196">
        <f t="shared" si="168"/>
        <v>0</v>
      </c>
      <c r="HJ196">
        <f t="shared" si="169"/>
        <v>0</v>
      </c>
      <c r="HK196">
        <f t="shared" si="170"/>
        <v>0</v>
      </c>
      <c r="HL196">
        <f t="shared" si="171"/>
        <v>0</v>
      </c>
      <c r="HM196" t="s">
        <v>296</v>
      </c>
      <c r="IK196">
        <v>0</v>
      </c>
    </row>
    <row r="197" spans="1:245" ht="12.75">
      <c r="A197">
        <v>17</v>
      </c>
      <c r="B197">
        <v>1</v>
      </c>
      <c r="E197" t="s">
        <v>299</v>
      </c>
      <c r="F197" t="s">
        <v>300</v>
      </c>
      <c r="G197" t="s">
        <v>282</v>
      </c>
      <c r="H197" t="s">
        <v>283</v>
      </c>
      <c r="I197">
        <f>ROUND(0.8694+0.069+0.2898,7)</f>
        <v>1.2282</v>
      </c>
      <c r="J197">
        <v>0</v>
      </c>
      <c r="K197">
        <f>ROUND(0.8694+0.069+0.2898,7)</f>
        <v>1.2282</v>
      </c>
      <c r="O197">
        <f t="shared" si="133"/>
        <v>559.57</v>
      </c>
      <c r="P197">
        <f>ROUND(ROUND(CQ197*I197,2)/BC197,2)</f>
        <v>559.57</v>
      </c>
      <c r="Q197">
        <f t="shared" si="135"/>
        <v>0</v>
      </c>
      <c r="R197">
        <f t="shared" si="136"/>
        <v>0</v>
      </c>
      <c r="S197">
        <f t="shared" si="137"/>
        <v>0</v>
      </c>
      <c r="T197">
        <f t="shared" si="138"/>
        <v>0</v>
      </c>
      <c r="U197">
        <f t="shared" si="139"/>
        <v>0</v>
      </c>
      <c r="V197">
        <f t="shared" si="140"/>
        <v>0</v>
      </c>
      <c r="W197">
        <f t="shared" si="141"/>
        <v>0</v>
      </c>
      <c r="X197">
        <f t="shared" si="142"/>
        <v>0</v>
      </c>
      <c r="Y197">
        <f t="shared" si="143"/>
        <v>0</v>
      </c>
      <c r="AA197">
        <v>44571020</v>
      </c>
      <c r="AB197">
        <f t="shared" si="144"/>
        <v>2346.34</v>
      </c>
      <c r="AC197">
        <f t="shared" si="172"/>
        <v>2346.34</v>
      </c>
      <c r="AD197">
        <f>ROUND((((ET197)-(EU197))+AE197),2)</f>
        <v>0</v>
      </c>
      <c r="AE197">
        <f>ROUND((EU197),2)</f>
        <v>0</v>
      </c>
      <c r="AF197">
        <f>ROUND((EV197),2)</f>
        <v>0</v>
      </c>
      <c r="AG197">
        <f t="shared" si="146"/>
        <v>0</v>
      </c>
      <c r="AH197">
        <f>(EW197)</f>
        <v>0</v>
      </c>
      <c r="AI197">
        <f>(EX197)</f>
        <v>0</v>
      </c>
      <c r="AJ197">
        <f t="shared" si="147"/>
        <v>0</v>
      </c>
      <c r="AK197">
        <v>2346.34</v>
      </c>
      <c r="AL197">
        <v>2346.34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1</v>
      </c>
      <c r="AW197">
        <v>1</v>
      </c>
      <c r="AZ197">
        <v>1</v>
      </c>
      <c r="BA197">
        <v>1</v>
      </c>
      <c r="BB197">
        <v>1</v>
      </c>
      <c r="BC197">
        <v>5.15</v>
      </c>
      <c r="BH197">
        <v>3</v>
      </c>
      <c r="BI197">
        <v>2</v>
      </c>
      <c r="BJ197" t="s">
        <v>300</v>
      </c>
      <c r="BM197">
        <v>500004</v>
      </c>
      <c r="BN197">
        <v>0</v>
      </c>
      <c r="BP197">
        <v>0</v>
      </c>
      <c r="BQ197">
        <v>14</v>
      </c>
      <c r="BR197">
        <v>0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Z197">
        <v>0</v>
      </c>
      <c r="CA197">
        <v>0</v>
      </c>
      <c r="CE197">
        <v>0</v>
      </c>
      <c r="CF197">
        <v>0</v>
      </c>
      <c r="CG197">
        <v>0</v>
      </c>
      <c r="CM197">
        <v>0</v>
      </c>
      <c r="CO197">
        <v>0</v>
      </c>
      <c r="CP197">
        <f t="shared" si="148"/>
        <v>559.57</v>
      </c>
      <c r="CQ197">
        <f>AC197</f>
        <v>2346.34</v>
      </c>
      <c r="CR197">
        <f t="shared" si="150"/>
        <v>0</v>
      </c>
      <c r="CS197">
        <f t="shared" si="151"/>
        <v>0</v>
      </c>
      <c r="CT197">
        <f t="shared" si="152"/>
        <v>0</v>
      </c>
      <c r="CU197">
        <f t="shared" si="153"/>
        <v>0</v>
      </c>
      <c r="CV197">
        <f t="shared" si="154"/>
        <v>0</v>
      </c>
      <c r="CW197">
        <f t="shared" si="155"/>
        <v>0</v>
      </c>
      <c r="CX197">
        <f t="shared" si="156"/>
        <v>0</v>
      </c>
      <c r="CY197">
        <f t="shared" si="157"/>
        <v>0</v>
      </c>
      <c r="CZ197">
        <f t="shared" si="158"/>
        <v>0</v>
      </c>
      <c r="DN197">
        <v>0</v>
      </c>
      <c r="DO197">
        <v>0</v>
      </c>
      <c r="DP197">
        <v>1</v>
      </c>
      <c r="DQ197">
        <v>1</v>
      </c>
      <c r="DU197">
        <v>1007</v>
      </c>
      <c r="DV197" t="s">
        <v>283</v>
      </c>
      <c r="DW197" t="s">
        <v>283</v>
      </c>
      <c r="DX197">
        <v>1</v>
      </c>
      <c r="EE197">
        <v>37976239</v>
      </c>
      <c r="EF197">
        <v>14</v>
      </c>
      <c r="EG197" t="s">
        <v>301</v>
      </c>
      <c r="EH197">
        <v>0</v>
      </c>
      <c r="EJ197">
        <v>2</v>
      </c>
      <c r="EK197">
        <v>500004</v>
      </c>
      <c r="EL197" t="s">
        <v>302</v>
      </c>
      <c r="EM197" t="s">
        <v>303</v>
      </c>
      <c r="EQ197">
        <v>0</v>
      </c>
      <c r="ER197">
        <v>2346.34</v>
      </c>
      <c r="ES197">
        <v>2346.34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5</v>
      </c>
      <c r="FC197">
        <v>0</v>
      </c>
      <c r="FD197">
        <v>18</v>
      </c>
      <c r="FF197">
        <v>2346.34</v>
      </c>
      <c r="FQ197">
        <v>0</v>
      </c>
      <c r="FR197">
        <f t="shared" si="159"/>
        <v>0</v>
      </c>
      <c r="FS197">
        <v>0</v>
      </c>
      <c r="FX197">
        <v>0</v>
      </c>
      <c r="FY197">
        <v>0</v>
      </c>
      <c r="GD197">
        <v>1</v>
      </c>
      <c r="GF197">
        <v>-1234186642</v>
      </c>
      <c r="GG197">
        <v>2</v>
      </c>
      <c r="GH197">
        <v>3</v>
      </c>
      <c r="GI197">
        <v>4</v>
      </c>
      <c r="GJ197">
        <v>0</v>
      </c>
      <c r="GK197">
        <v>0</v>
      </c>
      <c r="GL197">
        <f t="shared" si="160"/>
        <v>0</v>
      </c>
      <c r="GM197">
        <f t="shared" si="161"/>
        <v>559.57</v>
      </c>
      <c r="GN197">
        <f t="shared" si="162"/>
        <v>0</v>
      </c>
      <c r="GO197">
        <f t="shared" si="163"/>
        <v>559.57</v>
      </c>
      <c r="GP197">
        <f t="shared" si="164"/>
        <v>0</v>
      </c>
      <c r="GR197">
        <v>1</v>
      </c>
      <c r="GS197">
        <v>1</v>
      </c>
      <c r="GT197">
        <v>0</v>
      </c>
      <c r="GV197">
        <f t="shared" si="165"/>
        <v>0</v>
      </c>
      <c r="GW197">
        <v>1</v>
      </c>
      <c r="GX197">
        <f t="shared" si="166"/>
        <v>0</v>
      </c>
      <c r="HA197">
        <v>0</v>
      </c>
      <c r="HB197">
        <v>0</v>
      </c>
      <c r="HC197">
        <f t="shared" si="167"/>
        <v>0</v>
      </c>
      <c r="HG197">
        <f>ROUND(AC197*I197,2)</f>
        <v>2881.77</v>
      </c>
      <c r="HI197">
        <f t="shared" si="168"/>
        <v>0</v>
      </c>
      <c r="HJ197">
        <f t="shared" si="169"/>
        <v>0</v>
      </c>
      <c r="HK197">
        <f t="shared" si="170"/>
        <v>0</v>
      </c>
      <c r="HL197">
        <f t="shared" si="171"/>
        <v>0</v>
      </c>
      <c r="IK197">
        <v>0</v>
      </c>
    </row>
    <row r="198" spans="1:245" ht="12.75">
      <c r="A198">
        <v>17</v>
      </c>
      <c r="B198">
        <v>1</v>
      </c>
      <c r="C198">
        <f>ROW(SmtRes!A182)</f>
        <v>182</v>
      </c>
      <c r="D198">
        <f>ROW(EtalonRes!A187)</f>
        <v>187</v>
      </c>
      <c r="E198" t="s">
        <v>304</v>
      </c>
      <c r="F198" t="s">
        <v>305</v>
      </c>
      <c r="G198" t="s">
        <v>306</v>
      </c>
      <c r="H198" t="s">
        <v>307</v>
      </c>
      <c r="I198">
        <f>ROUND(4.6*0.0005,7)</f>
        <v>0.0023</v>
      </c>
      <c r="J198">
        <v>0</v>
      </c>
      <c r="K198">
        <f>ROUND(4.6*0.0005,7)</f>
        <v>0.0023</v>
      </c>
      <c r="O198">
        <f t="shared" si="133"/>
        <v>5.82</v>
      </c>
      <c r="P198">
        <f>ROUND(CQ198*I198,2)</f>
        <v>5.67</v>
      </c>
      <c r="Q198">
        <f t="shared" si="135"/>
        <v>0.15</v>
      </c>
      <c r="R198">
        <f t="shared" si="136"/>
        <v>0.02</v>
      </c>
      <c r="S198">
        <f t="shared" si="137"/>
        <v>0</v>
      </c>
      <c r="T198">
        <f t="shared" si="138"/>
        <v>0</v>
      </c>
      <c r="U198">
        <f t="shared" si="139"/>
        <v>0</v>
      </c>
      <c r="V198">
        <f t="shared" si="140"/>
        <v>0.0020948399999999997</v>
      </c>
      <c r="W198">
        <f t="shared" si="141"/>
        <v>0</v>
      </c>
      <c r="X198">
        <f t="shared" si="142"/>
        <v>0.03</v>
      </c>
      <c r="Y198">
        <f t="shared" si="143"/>
        <v>0.03</v>
      </c>
      <c r="AA198">
        <v>44571020</v>
      </c>
      <c r="AB198">
        <f t="shared" si="144"/>
        <v>2533.92</v>
      </c>
      <c r="AC198">
        <f t="shared" si="172"/>
        <v>2466.91</v>
      </c>
      <c r="AD198">
        <f>ROUND(((((ET198*ROUND((1.15*1.2),7)))-((EU198*ROUND((1.15*1.2),7))))+AE198),2)</f>
        <v>67.01</v>
      </c>
      <c r="AE198">
        <f>ROUND(((EU198*ROUND((1.15*1.2),7))),2)</f>
        <v>9.59</v>
      </c>
      <c r="AF198">
        <f>ROUND(((EV198*ROUND((1.15*1.2),7))),2)</f>
        <v>0</v>
      </c>
      <c r="AG198">
        <f t="shared" si="146"/>
        <v>0</v>
      </c>
      <c r="AH198">
        <f>((EW198*ROUND((1.15*1.2),7)))</f>
        <v>0</v>
      </c>
      <c r="AI198">
        <f>((EX198*ROUND((1.15*1.2),7)))</f>
        <v>0.9107999999999999</v>
      </c>
      <c r="AJ198">
        <f t="shared" si="147"/>
        <v>0</v>
      </c>
      <c r="AK198">
        <v>2515.47</v>
      </c>
      <c r="AL198">
        <v>2466.91</v>
      </c>
      <c r="AM198">
        <v>48.56</v>
      </c>
      <c r="AN198">
        <v>6.95</v>
      </c>
      <c r="AO198">
        <v>0</v>
      </c>
      <c r="AP198">
        <v>0</v>
      </c>
      <c r="AQ198">
        <v>0</v>
      </c>
      <c r="AR198">
        <v>0.66</v>
      </c>
      <c r="AS198">
        <v>0</v>
      </c>
      <c r="AT198">
        <v>147</v>
      </c>
      <c r="AU198">
        <v>134</v>
      </c>
      <c r="AV198">
        <v>1</v>
      </c>
      <c r="AW198">
        <v>1</v>
      </c>
      <c r="AZ198">
        <v>1</v>
      </c>
      <c r="BA198">
        <v>28.93</v>
      </c>
      <c r="BB198">
        <v>1</v>
      </c>
      <c r="BC198">
        <v>1</v>
      </c>
      <c r="BH198">
        <v>0</v>
      </c>
      <c r="BI198">
        <v>1</v>
      </c>
      <c r="BJ198" t="s">
        <v>308</v>
      </c>
      <c r="BM198">
        <v>27001</v>
      </c>
      <c r="BN198">
        <v>0</v>
      </c>
      <c r="BP198">
        <v>0</v>
      </c>
      <c r="BQ198">
        <v>2</v>
      </c>
      <c r="BR198">
        <v>0</v>
      </c>
      <c r="BS198">
        <v>28.93</v>
      </c>
      <c r="BT198">
        <v>1</v>
      </c>
      <c r="BU198">
        <v>1</v>
      </c>
      <c r="BV198">
        <v>1</v>
      </c>
      <c r="BW198">
        <v>1</v>
      </c>
      <c r="BX198">
        <v>1</v>
      </c>
      <c r="BZ198">
        <v>147</v>
      </c>
      <c r="CA198">
        <v>134</v>
      </c>
      <c r="CE198">
        <v>0</v>
      </c>
      <c r="CF198">
        <v>0</v>
      </c>
      <c r="CG198">
        <v>0</v>
      </c>
      <c r="CM198">
        <v>0</v>
      </c>
      <c r="CO198">
        <v>0</v>
      </c>
      <c r="CP198">
        <f t="shared" si="148"/>
        <v>5.82</v>
      </c>
      <c r="CQ198">
        <f>AC198*BC198</f>
        <v>2466.91</v>
      </c>
      <c r="CR198">
        <f t="shared" si="150"/>
        <v>67.01</v>
      </c>
      <c r="CS198">
        <f t="shared" si="151"/>
        <v>9.59</v>
      </c>
      <c r="CT198">
        <f t="shared" si="152"/>
        <v>0</v>
      </c>
      <c r="CU198">
        <f t="shared" si="153"/>
        <v>0</v>
      </c>
      <c r="CV198">
        <f t="shared" si="154"/>
        <v>0</v>
      </c>
      <c r="CW198">
        <f t="shared" si="155"/>
        <v>0.9107999999999999</v>
      </c>
      <c r="CX198">
        <f t="shared" si="156"/>
        <v>0</v>
      </c>
      <c r="CY198">
        <f t="shared" si="157"/>
        <v>0.0294</v>
      </c>
      <c r="CZ198">
        <f t="shared" si="158"/>
        <v>0.0268</v>
      </c>
      <c r="DE198" t="s">
        <v>86</v>
      </c>
      <c r="DF198" t="s">
        <v>86</v>
      </c>
      <c r="DG198" t="s">
        <v>86</v>
      </c>
      <c r="DI198" t="s">
        <v>86</v>
      </c>
      <c r="DJ198" t="s">
        <v>86</v>
      </c>
      <c r="DN198">
        <v>0</v>
      </c>
      <c r="DO198">
        <v>0</v>
      </c>
      <c r="DP198">
        <v>1</v>
      </c>
      <c r="DQ198">
        <v>1</v>
      </c>
      <c r="DU198">
        <v>1013</v>
      </c>
      <c r="DV198" t="s">
        <v>307</v>
      </c>
      <c r="DW198" t="s">
        <v>307</v>
      </c>
      <c r="DX198">
        <v>1</v>
      </c>
      <c r="EE198">
        <v>37976085</v>
      </c>
      <c r="EF198">
        <v>2</v>
      </c>
      <c r="EG198" t="s">
        <v>23</v>
      </c>
      <c r="EH198">
        <v>21</v>
      </c>
      <c r="EI198" t="s">
        <v>256</v>
      </c>
      <c r="EJ198">
        <v>1</v>
      </c>
      <c r="EK198">
        <v>27001</v>
      </c>
      <c r="EL198" t="s">
        <v>256</v>
      </c>
      <c r="EM198" t="s">
        <v>258</v>
      </c>
      <c r="EQ198">
        <v>0</v>
      </c>
      <c r="ER198">
        <v>2515.47</v>
      </c>
      <c r="ES198">
        <v>2466.91</v>
      </c>
      <c r="ET198">
        <v>48.56</v>
      </c>
      <c r="EU198">
        <v>6.95</v>
      </c>
      <c r="EV198">
        <v>0</v>
      </c>
      <c r="EW198">
        <v>0</v>
      </c>
      <c r="EX198">
        <v>0.66</v>
      </c>
      <c r="EY198">
        <v>0</v>
      </c>
      <c r="FQ198">
        <v>0</v>
      </c>
      <c r="FR198">
        <f t="shared" si="159"/>
        <v>0</v>
      </c>
      <c r="FS198">
        <v>0</v>
      </c>
      <c r="FX198">
        <v>147</v>
      </c>
      <c r="FY198">
        <v>134</v>
      </c>
      <c r="GD198">
        <v>1</v>
      </c>
      <c r="GF198">
        <v>1244474433</v>
      </c>
      <c r="GG198">
        <v>2</v>
      </c>
      <c r="GH198">
        <v>1</v>
      </c>
      <c r="GI198">
        <v>4</v>
      </c>
      <c r="GJ198">
        <v>0</v>
      </c>
      <c r="GK198">
        <v>0</v>
      </c>
      <c r="GL198">
        <f t="shared" si="160"/>
        <v>0</v>
      </c>
      <c r="GM198">
        <f t="shared" si="161"/>
        <v>5.88</v>
      </c>
      <c r="GN198">
        <f t="shared" si="162"/>
        <v>5.88</v>
      </c>
      <c r="GO198">
        <f t="shared" si="163"/>
        <v>0</v>
      </c>
      <c r="GP198">
        <f t="shared" si="164"/>
        <v>0</v>
      </c>
      <c r="GR198">
        <v>0</v>
      </c>
      <c r="GS198">
        <v>3</v>
      </c>
      <c r="GT198">
        <v>0</v>
      </c>
      <c r="GV198">
        <f t="shared" si="165"/>
        <v>0</v>
      </c>
      <c r="GW198">
        <v>1</v>
      </c>
      <c r="GX198">
        <f t="shared" si="166"/>
        <v>0</v>
      </c>
      <c r="HA198">
        <v>0</v>
      </c>
      <c r="HB198">
        <v>0</v>
      </c>
      <c r="HC198">
        <f t="shared" si="167"/>
        <v>0</v>
      </c>
      <c r="HI198">
        <f t="shared" si="168"/>
        <v>0.58</v>
      </c>
      <c r="HJ198">
        <f t="shared" si="169"/>
        <v>0</v>
      </c>
      <c r="HK198">
        <f t="shared" si="170"/>
        <v>0.85</v>
      </c>
      <c r="HL198">
        <f t="shared" si="171"/>
        <v>0.78</v>
      </c>
      <c r="HN198" t="s">
        <v>259</v>
      </c>
      <c r="HO198" t="s">
        <v>260</v>
      </c>
      <c r="HP198" t="s">
        <v>256</v>
      </c>
      <c r="HQ198" t="s">
        <v>256</v>
      </c>
      <c r="IK198">
        <v>0</v>
      </c>
    </row>
    <row r="199" spans="1:245" ht="12.75">
      <c r="A199">
        <v>17</v>
      </c>
      <c r="B199">
        <v>1</v>
      </c>
      <c r="E199" t="s">
        <v>309</v>
      </c>
      <c r="F199" t="s">
        <v>300</v>
      </c>
      <c r="G199" t="s">
        <v>310</v>
      </c>
      <c r="H199" t="s">
        <v>311</v>
      </c>
      <c r="I199">
        <f>ROUND(4.6*0.0005,7)</f>
        <v>0.0023</v>
      </c>
      <c r="J199">
        <v>0</v>
      </c>
      <c r="K199">
        <f>ROUND(4.6*0.0005,7)</f>
        <v>0.0023</v>
      </c>
      <c r="O199">
        <f t="shared" si="133"/>
        <v>13.03</v>
      </c>
      <c r="P199">
        <f>ROUND(ROUND(CQ199*I199,2)/BC199,2)</f>
        <v>13.03</v>
      </c>
      <c r="Q199">
        <f t="shared" si="135"/>
        <v>0</v>
      </c>
      <c r="R199">
        <f t="shared" si="136"/>
        <v>0</v>
      </c>
      <c r="S199">
        <f t="shared" si="137"/>
        <v>0</v>
      </c>
      <c r="T199">
        <f t="shared" si="138"/>
        <v>0</v>
      </c>
      <c r="U199">
        <f t="shared" si="139"/>
        <v>0</v>
      </c>
      <c r="V199">
        <f t="shared" si="140"/>
        <v>0</v>
      </c>
      <c r="W199">
        <f t="shared" si="141"/>
        <v>0</v>
      </c>
      <c r="X199">
        <f t="shared" si="142"/>
        <v>0</v>
      </c>
      <c r="Y199">
        <f t="shared" si="143"/>
        <v>0</v>
      </c>
      <c r="AA199">
        <v>44571020</v>
      </c>
      <c r="AB199">
        <f t="shared" si="144"/>
        <v>29166.67</v>
      </c>
      <c r="AC199">
        <f t="shared" si="172"/>
        <v>29166.67</v>
      </c>
      <c r="AD199">
        <f>ROUND((((ET199)-(EU199))+AE199),2)</f>
        <v>0</v>
      </c>
      <c r="AE199">
        <f>ROUND((EU199),2)</f>
        <v>0</v>
      </c>
      <c r="AF199">
        <f>ROUND((EV199),2)</f>
        <v>0</v>
      </c>
      <c r="AG199">
        <f t="shared" si="146"/>
        <v>0</v>
      </c>
      <c r="AH199">
        <f>(EW199)</f>
        <v>0</v>
      </c>
      <c r="AI199">
        <f>(EX199)</f>
        <v>0</v>
      </c>
      <c r="AJ199">
        <f t="shared" si="147"/>
        <v>0</v>
      </c>
      <c r="AK199">
        <v>29166.67</v>
      </c>
      <c r="AL199">
        <v>29166.67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</v>
      </c>
      <c r="AW199">
        <v>1</v>
      </c>
      <c r="AZ199">
        <v>1</v>
      </c>
      <c r="BA199">
        <v>1</v>
      </c>
      <c r="BB199">
        <v>1</v>
      </c>
      <c r="BC199">
        <v>5.15</v>
      </c>
      <c r="BH199">
        <v>3</v>
      </c>
      <c r="BI199">
        <v>2</v>
      </c>
      <c r="BJ199" t="s">
        <v>300</v>
      </c>
      <c r="BM199">
        <v>500004</v>
      </c>
      <c r="BN199">
        <v>0</v>
      </c>
      <c r="BP199">
        <v>0</v>
      </c>
      <c r="BQ199">
        <v>14</v>
      </c>
      <c r="BR199">
        <v>0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Z199">
        <v>0</v>
      </c>
      <c r="CA199">
        <v>0</v>
      </c>
      <c r="CE199">
        <v>0</v>
      </c>
      <c r="CF199">
        <v>0</v>
      </c>
      <c r="CG199">
        <v>0</v>
      </c>
      <c r="CM199">
        <v>0</v>
      </c>
      <c r="CO199">
        <v>0</v>
      </c>
      <c r="CP199">
        <f t="shared" si="148"/>
        <v>13.03</v>
      </c>
      <c r="CQ199">
        <f>AC199</f>
        <v>29166.67</v>
      </c>
      <c r="CR199">
        <f t="shared" si="150"/>
        <v>0</v>
      </c>
      <c r="CS199">
        <f t="shared" si="151"/>
        <v>0</v>
      </c>
      <c r="CT199">
        <f t="shared" si="152"/>
        <v>0</v>
      </c>
      <c r="CU199">
        <f t="shared" si="153"/>
        <v>0</v>
      </c>
      <c r="CV199">
        <f t="shared" si="154"/>
        <v>0</v>
      </c>
      <c r="CW199">
        <f t="shared" si="155"/>
        <v>0</v>
      </c>
      <c r="CX199">
        <f t="shared" si="156"/>
        <v>0</v>
      </c>
      <c r="CY199">
        <f t="shared" si="157"/>
        <v>0</v>
      </c>
      <c r="CZ199">
        <f t="shared" si="158"/>
        <v>0</v>
      </c>
      <c r="DN199">
        <v>0</v>
      </c>
      <c r="DO199">
        <v>0</v>
      </c>
      <c r="DP199">
        <v>1</v>
      </c>
      <c r="DQ199">
        <v>1</v>
      </c>
      <c r="DU199">
        <v>1013</v>
      </c>
      <c r="DV199" t="s">
        <v>311</v>
      </c>
      <c r="DW199" t="s">
        <v>311</v>
      </c>
      <c r="DX199">
        <v>1</v>
      </c>
      <c r="EE199">
        <v>37976239</v>
      </c>
      <c r="EF199">
        <v>14</v>
      </c>
      <c r="EG199" t="s">
        <v>301</v>
      </c>
      <c r="EH199">
        <v>0</v>
      </c>
      <c r="EJ199">
        <v>2</v>
      </c>
      <c r="EK199">
        <v>500004</v>
      </c>
      <c r="EL199" t="s">
        <v>302</v>
      </c>
      <c r="EM199" t="s">
        <v>303</v>
      </c>
      <c r="EQ199">
        <v>0</v>
      </c>
      <c r="ER199">
        <v>29166.67</v>
      </c>
      <c r="ES199">
        <v>29166.67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5</v>
      </c>
      <c r="FC199">
        <v>1</v>
      </c>
      <c r="FD199">
        <v>18</v>
      </c>
      <c r="FF199">
        <v>35000</v>
      </c>
      <c r="FQ199">
        <v>0</v>
      </c>
      <c r="FR199">
        <f t="shared" si="159"/>
        <v>0</v>
      </c>
      <c r="FS199">
        <v>0</v>
      </c>
      <c r="FX199">
        <v>0</v>
      </c>
      <c r="FY199">
        <v>0</v>
      </c>
      <c r="GA199" t="s">
        <v>312</v>
      </c>
      <c r="GD199">
        <v>1</v>
      </c>
      <c r="GF199">
        <v>-250215934</v>
      </c>
      <c r="GG199">
        <v>2</v>
      </c>
      <c r="GH199">
        <v>3</v>
      </c>
      <c r="GI199">
        <v>4</v>
      </c>
      <c r="GJ199">
        <v>0</v>
      </c>
      <c r="GK199">
        <v>0</v>
      </c>
      <c r="GL199">
        <f t="shared" si="160"/>
        <v>0</v>
      </c>
      <c r="GM199">
        <f t="shared" si="161"/>
        <v>13.03</v>
      </c>
      <c r="GN199">
        <f t="shared" si="162"/>
        <v>0</v>
      </c>
      <c r="GO199">
        <f t="shared" si="163"/>
        <v>13.03</v>
      </c>
      <c r="GP199">
        <f t="shared" si="164"/>
        <v>0</v>
      </c>
      <c r="GR199">
        <v>1</v>
      </c>
      <c r="GS199">
        <v>1</v>
      </c>
      <c r="GT199">
        <v>0</v>
      </c>
      <c r="GV199">
        <f t="shared" si="165"/>
        <v>0</v>
      </c>
      <c r="GW199">
        <v>1</v>
      </c>
      <c r="GX199">
        <f t="shared" si="166"/>
        <v>0</v>
      </c>
      <c r="HA199">
        <v>0</v>
      </c>
      <c r="HB199">
        <v>0</v>
      </c>
      <c r="HC199">
        <f t="shared" si="167"/>
        <v>0</v>
      </c>
      <c r="HE199" t="s">
        <v>313</v>
      </c>
      <c r="HF199" t="s">
        <v>313</v>
      </c>
      <c r="HG199">
        <f>ROUND(AC199*I199,2)</f>
        <v>67.08</v>
      </c>
      <c r="HI199">
        <f t="shared" si="168"/>
        <v>0</v>
      </c>
      <c r="HJ199">
        <f t="shared" si="169"/>
        <v>0</v>
      </c>
      <c r="HK199">
        <f t="shared" si="170"/>
        <v>0</v>
      </c>
      <c r="HL199">
        <f t="shared" si="171"/>
        <v>0</v>
      </c>
      <c r="IK199">
        <v>0</v>
      </c>
    </row>
    <row r="200" spans="1:245" ht="12.75">
      <c r="A200">
        <v>17</v>
      </c>
      <c r="B200">
        <v>1</v>
      </c>
      <c r="C200">
        <f>ROW(SmtRes!A191)</f>
        <v>191</v>
      </c>
      <c r="D200">
        <f>ROW(EtalonRes!A196)</f>
        <v>196</v>
      </c>
      <c r="E200" t="s">
        <v>314</v>
      </c>
      <c r="F200" t="s">
        <v>315</v>
      </c>
      <c r="G200" t="s">
        <v>316</v>
      </c>
      <c r="H200" t="s">
        <v>317</v>
      </c>
      <c r="I200">
        <f>ROUND(4.6*0.25/100,7)</f>
        <v>0.0115</v>
      </c>
      <c r="J200">
        <v>0</v>
      </c>
      <c r="K200">
        <f>ROUND(4.6*0.25/100,7)</f>
        <v>0.0115</v>
      </c>
      <c r="O200">
        <f t="shared" si="133"/>
        <v>490.78</v>
      </c>
      <c r="P200">
        <f>ROUND(CQ200*I200,2)</f>
        <v>438.13</v>
      </c>
      <c r="Q200">
        <f t="shared" si="135"/>
        <v>49.37</v>
      </c>
      <c r="R200">
        <f t="shared" si="136"/>
        <v>4.58</v>
      </c>
      <c r="S200">
        <f t="shared" si="137"/>
        <v>3.28</v>
      </c>
      <c r="T200">
        <f t="shared" si="138"/>
        <v>0</v>
      </c>
      <c r="U200">
        <f t="shared" si="139"/>
        <v>0.34548989999999996</v>
      </c>
      <c r="V200">
        <f t="shared" si="140"/>
        <v>0.341205</v>
      </c>
      <c r="W200">
        <f t="shared" si="141"/>
        <v>0</v>
      </c>
      <c r="X200">
        <f t="shared" si="142"/>
        <v>11.55</v>
      </c>
      <c r="Y200">
        <f t="shared" si="143"/>
        <v>7.47</v>
      </c>
      <c r="AA200">
        <v>44571020</v>
      </c>
      <c r="AB200">
        <f t="shared" si="144"/>
        <v>42677.18</v>
      </c>
      <c r="AC200">
        <f t="shared" si="172"/>
        <v>38098.64</v>
      </c>
      <c r="AD200">
        <f>ROUND(((((ET200*ROUND((1.15*1.2),7)))-((EU200*ROUND((1.15*1.2),7))))+AE200),2)</f>
        <v>4293.43</v>
      </c>
      <c r="AE200">
        <f>ROUND(((EU200*ROUND((1.15*1.2),7))),2)</f>
        <v>398.48</v>
      </c>
      <c r="AF200">
        <f>ROUND(((EV200*ROUND((1.15*1.2),7))),2)</f>
        <v>285.11</v>
      </c>
      <c r="AG200">
        <f t="shared" si="146"/>
        <v>0</v>
      </c>
      <c r="AH200">
        <f>((EW200*ROUND((1.15*1.2),7)))</f>
        <v>30.042599999999997</v>
      </c>
      <c r="AI200">
        <f>((EX200*ROUND((1.15*1.2),7)))</f>
        <v>29.669999999999998</v>
      </c>
      <c r="AJ200">
        <f t="shared" si="147"/>
        <v>0</v>
      </c>
      <c r="AK200">
        <v>41416.42</v>
      </c>
      <c r="AL200">
        <v>38098.64</v>
      </c>
      <c r="AM200">
        <v>3111.18</v>
      </c>
      <c r="AN200">
        <v>288.75</v>
      </c>
      <c r="AO200">
        <v>206.6</v>
      </c>
      <c r="AP200">
        <v>0</v>
      </c>
      <c r="AQ200">
        <v>21.77</v>
      </c>
      <c r="AR200">
        <v>21.5</v>
      </c>
      <c r="AS200">
        <v>0</v>
      </c>
      <c r="AT200">
        <v>147</v>
      </c>
      <c r="AU200">
        <v>95</v>
      </c>
      <c r="AV200">
        <v>1</v>
      </c>
      <c r="AW200">
        <v>1</v>
      </c>
      <c r="AZ200">
        <v>1</v>
      </c>
      <c r="BA200">
        <v>28.93</v>
      </c>
      <c r="BB200">
        <v>1</v>
      </c>
      <c r="BC200">
        <v>1</v>
      </c>
      <c r="BH200">
        <v>0</v>
      </c>
      <c r="BI200">
        <v>1</v>
      </c>
      <c r="BJ200" t="s">
        <v>318</v>
      </c>
      <c r="BM200">
        <v>27001</v>
      </c>
      <c r="BN200">
        <v>0</v>
      </c>
      <c r="BP200">
        <v>0</v>
      </c>
      <c r="BQ200">
        <v>2</v>
      </c>
      <c r="BR200">
        <v>0</v>
      </c>
      <c r="BS200">
        <v>28.93</v>
      </c>
      <c r="BT200">
        <v>1</v>
      </c>
      <c r="BU200">
        <v>1</v>
      </c>
      <c r="BV200">
        <v>1</v>
      </c>
      <c r="BW200">
        <v>1</v>
      </c>
      <c r="BX200">
        <v>1</v>
      </c>
      <c r="BZ200">
        <v>147</v>
      </c>
      <c r="CA200">
        <v>95</v>
      </c>
      <c r="CE200">
        <v>0</v>
      </c>
      <c r="CF200">
        <v>0</v>
      </c>
      <c r="CG200">
        <v>0</v>
      </c>
      <c r="CM200">
        <v>0</v>
      </c>
      <c r="CO200">
        <v>0</v>
      </c>
      <c r="CP200">
        <f t="shared" si="148"/>
        <v>490.78</v>
      </c>
      <c r="CQ200">
        <f>AC200*BC200</f>
        <v>38098.64</v>
      </c>
      <c r="CR200">
        <f t="shared" si="150"/>
        <v>4293.43</v>
      </c>
      <c r="CS200">
        <f t="shared" si="151"/>
        <v>398.48</v>
      </c>
      <c r="CT200">
        <f t="shared" si="152"/>
        <v>285.11</v>
      </c>
      <c r="CU200">
        <f t="shared" si="153"/>
        <v>0</v>
      </c>
      <c r="CV200">
        <f t="shared" si="154"/>
        <v>30.042599999999997</v>
      </c>
      <c r="CW200">
        <f t="shared" si="155"/>
        <v>29.669999999999998</v>
      </c>
      <c r="CX200">
        <f t="shared" si="156"/>
        <v>0</v>
      </c>
      <c r="CY200">
        <f t="shared" si="157"/>
        <v>11.554199999999998</v>
      </c>
      <c r="CZ200">
        <f t="shared" si="158"/>
        <v>7.467</v>
      </c>
      <c r="DE200" t="s">
        <v>86</v>
      </c>
      <c r="DF200" t="s">
        <v>86</v>
      </c>
      <c r="DG200" t="s">
        <v>86</v>
      </c>
      <c r="DI200" t="s">
        <v>86</v>
      </c>
      <c r="DJ200" t="s">
        <v>86</v>
      </c>
      <c r="DN200">
        <v>0</v>
      </c>
      <c r="DO200">
        <v>0</v>
      </c>
      <c r="DP200">
        <v>1</v>
      </c>
      <c r="DQ200">
        <v>1</v>
      </c>
      <c r="DU200">
        <v>1013</v>
      </c>
      <c r="DV200" t="s">
        <v>317</v>
      </c>
      <c r="DW200" t="s">
        <v>317</v>
      </c>
      <c r="DX200">
        <v>1</v>
      </c>
      <c r="EE200">
        <v>37976085</v>
      </c>
      <c r="EF200">
        <v>2</v>
      </c>
      <c r="EG200" t="s">
        <v>23</v>
      </c>
      <c r="EH200">
        <v>21</v>
      </c>
      <c r="EI200" t="s">
        <v>256</v>
      </c>
      <c r="EJ200">
        <v>1</v>
      </c>
      <c r="EK200">
        <v>27001</v>
      </c>
      <c r="EL200" t="s">
        <v>256</v>
      </c>
      <c r="EM200" t="s">
        <v>258</v>
      </c>
      <c r="EQ200">
        <v>0</v>
      </c>
      <c r="ER200">
        <v>41416.42</v>
      </c>
      <c r="ES200">
        <v>38098.64</v>
      </c>
      <c r="ET200">
        <v>3111.18</v>
      </c>
      <c r="EU200">
        <v>288.75</v>
      </c>
      <c r="EV200">
        <v>206.6</v>
      </c>
      <c r="EW200">
        <v>21.77</v>
      </c>
      <c r="EX200">
        <v>21.5</v>
      </c>
      <c r="EY200">
        <v>0</v>
      </c>
      <c r="FQ200">
        <v>0</v>
      </c>
      <c r="FR200">
        <f t="shared" si="159"/>
        <v>0</v>
      </c>
      <c r="FS200">
        <v>0</v>
      </c>
      <c r="FX200">
        <v>147</v>
      </c>
      <c r="FY200">
        <v>95</v>
      </c>
      <c r="GD200">
        <v>1</v>
      </c>
      <c r="GF200">
        <v>388623571</v>
      </c>
      <c r="GG200">
        <v>2</v>
      </c>
      <c r="GH200">
        <v>1</v>
      </c>
      <c r="GI200">
        <v>4</v>
      </c>
      <c r="GJ200">
        <v>0</v>
      </c>
      <c r="GK200">
        <v>0</v>
      </c>
      <c r="GL200">
        <f t="shared" si="160"/>
        <v>0</v>
      </c>
      <c r="GM200">
        <f t="shared" si="161"/>
        <v>509.8</v>
      </c>
      <c r="GN200">
        <f t="shared" si="162"/>
        <v>509.8</v>
      </c>
      <c r="GO200">
        <f t="shared" si="163"/>
        <v>0</v>
      </c>
      <c r="GP200">
        <f t="shared" si="164"/>
        <v>0</v>
      </c>
      <c r="GR200">
        <v>0</v>
      </c>
      <c r="GS200">
        <v>3</v>
      </c>
      <c r="GT200">
        <v>0</v>
      </c>
      <c r="GV200">
        <f t="shared" si="165"/>
        <v>0</v>
      </c>
      <c r="GW200">
        <v>1</v>
      </c>
      <c r="GX200">
        <f t="shared" si="166"/>
        <v>0</v>
      </c>
      <c r="HA200">
        <v>0</v>
      </c>
      <c r="HB200">
        <v>0</v>
      </c>
      <c r="HC200">
        <f t="shared" si="167"/>
        <v>0</v>
      </c>
      <c r="HI200">
        <f t="shared" si="168"/>
        <v>132.5</v>
      </c>
      <c r="HJ200">
        <f t="shared" si="169"/>
        <v>94.89</v>
      </c>
      <c r="HK200">
        <f t="shared" si="170"/>
        <v>334.26</v>
      </c>
      <c r="HL200">
        <f t="shared" si="171"/>
        <v>216.02</v>
      </c>
      <c r="HN200" t="s">
        <v>259</v>
      </c>
      <c r="HO200" t="s">
        <v>260</v>
      </c>
      <c r="HP200" t="s">
        <v>256</v>
      </c>
      <c r="HQ200" t="s">
        <v>256</v>
      </c>
      <c r="IK200">
        <v>0</v>
      </c>
    </row>
    <row r="201" spans="1:245" ht="12.75">
      <c r="A201">
        <v>18</v>
      </c>
      <c r="B201">
        <v>1</v>
      </c>
      <c r="C201">
        <v>191</v>
      </c>
      <c r="E201" t="s">
        <v>319</v>
      </c>
      <c r="F201" t="s">
        <v>320</v>
      </c>
      <c r="G201" t="s">
        <v>321</v>
      </c>
      <c r="H201" t="s">
        <v>322</v>
      </c>
      <c r="I201">
        <f>I200*J201</f>
        <v>-1.1615</v>
      </c>
      <c r="J201">
        <v>-101</v>
      </c>
      <c r="K201">
        <v>-101</v>
      </c>
      <c r="O201">
        <f t="shared" si="133"/>
        <v>-435.93</v>
      </c>
      <c r="P201">
        <f>ROUND(CQ201*I201,2)</f>
        <v>-435.93</v>
      </c>
      <c r="Q201">
        <f t="shared" si="135"/>
        <v>0</v>
      </c>
      <c r="R201">
        <f t="shared" si="136"/>
        <v>0</v>
      </c>
      <c r="S201">
        <f t="shared" si="137"/>
        <v>0</v>
      </c>
      <c r="T201">
        <f t="shared" si="138"/>
        <v>0</v>
      </c>
      <c r="U201">
        <f t="shared" si="139"/>
        <v>0</v>
      </c>
      <c r="V201">
        <f t="shared" si="140"/>
        <v>0</v>
      </c>
      <c r="W201">
        <f t="shared" si="141"/>
        <v>0</v>
      </c>
      <c r="X201">
        <f t="shared" si="142"/>
        <v>0</v>
      </c>
      <c r="Y201">
        <f t="shared" si="143"/>
        <v>0</v>
      </c>
      <c r="AA201">
        <v>44571020</v>
      </c>
      <c r="AB201">
        <f t="shared" si="144"/>
        <v>375.32</v>
      </c>
      <c r="AC201">
        <f t="shared" si="172"/>
        <v>375.32</v>
      </c>
      <c r="AD201">
        <f>ROUND((((ET201)-(EU201))+AE201),2)</f>
        <v>0</v>
      </c>
      <c r="AE201">
        <f>ROUND((EU201),2)</f>
        <v>0</v>
      </c>
      <c r="AF201">
        <f>ROUND((EV201),2)</f>
        <v>0</v>
      </c>
      <c r="AG201">
        <f t="shared" si="146"/>
        <v>0</v>
      </c>
      <c r="AH201">
        <f>(EW201)</f>
        <v>0</v>
      </c>
      <c r="AI201">
        <f>(EX201)</f>
        <v>0</v>
      </c>
      <c r="AJ201">
        <f t="shared" si="147"/>
        <v>0</v>
      </c>
      <c r="AK201">
        <v>375.32</v>
      </c>
      <c r="AL201">
        <v>375.32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1</v>
      </c>
      <c r="AW201">
        <v>1</v>
      </c>
      <c r="AZ201">
        <v>1</v>
      </c>
      <c r="BA201">
        <v>1</v>
      </c>
      <c r="BB201">
        <v>1</v>
      </c>
      <c r="BC201">
        <v>1</v>
      </c>
      <c r="BH201">
        <v>3</v>
      </c>
      <c r="BI201">
        <v>1</v>
      </c>
      <c r="BJ201" t="s">
        <v>323</v>
      </c>
      <c r="BM201">
        <v>500001</v>
      </c>
      <c r="BN201">
        <v>0</v>
      </c>
      <c r="BP201">
        <v>0</v>
      </c>
      <c r="BQ201">
        <v>8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Z201">
        <v>0</v>
      </c>
      <c r="CA201">
        <v>0</v>
      </c>
      <c r="CE201">
        <v>0</v>
      </c>
      <c r="CF201">
        <v>0</v>
      </c>
      <c r="CG201">
        <v>0</v>
      </c>
      <c r="CM201">
        <v>0</v>
      </c>
      <c r="CO201">
        <v>0</v>
      </c>
      <c r="CP201">
        <f t="shared" si="148"/>
        <v>-435.93</v>
      </c>
      <c r="CQ201">
        <f>AC201*BC201</f>
        <v>375.32</v>
      </c>
      <c r="CR201">
        <f t="shared" si="150"/>
        <v>0</v>
      </c>
      <c r="CS201">
        <f t="shared" si="151"/>
        <v>0</v>
      </c>
      <c r="CT201">
        <f t="shared" si="152"/>
        <v>0</v>
      </c>
      <c r="CU201">
        <f t="shared" si="153"/>
        <v>0</v>
      </c>
      <c r="CV201">
        <f t="shared" si="154"/>
        <v>0</v>
      </c>
      <c r="CW201">
        <f t="shared" si="155"/>
        <v>0</v>
      </c>
      <c r="CX201">
        <f t="shared" si="156"/>
        <v>0</v>
      </c>
      <c r="CY201">
        <f t="shared" si="157"/>
        <v>0</v>
      </c>
      <c r="CZ201">
        <f t="shared" si="158"/>
        <v>0</v>
      </c>
      <c r="DN201">
        <v>0</v>
      </c>
      <c r="DO201">
        <v>0</v>
      </c>
      <c r="DP201">
        <v>1</v>
      </c>
      <c r="DQ201">
        <v>1</v>
      </c>
      <c r="DU201">
        <v>1009</v>
      </c>
      <c r="DV201" t="s">
        <v>322</v>
      </c>
      <c r="DW201" t="s">
        <v>322</v>
      </c>
      <c r="DX201">
        <v>1000</v>
      </c>
      <c r="EE201">
        <v>37975977</v>
      </c>
      <c r="EF201">
        <v>8</v>
      </c>
      <c r="EG201" t="s">
        <v>285</v>
      </c>
      <c r="EH201">
        <v>0</v>
      </c>
      <c r="EJ201">
        <v>1</v>
      </c>
      <c r="EK201">
        <v>500001</v>
      </c>
      <c r="EL201" t="s">
        <v>286</v>
      </c>
      <c r="EM201" t="s">
        <v>287</v>
      </c>
      <c r="EQ201">
        <v>32768</v>
      </c>
      <c r="ER201">
        <v>375.32</v>
      </c>
      <c r="ES201">
        <v>375.32</v>
      </c>
      <c r="ET201">
        <v>0</v>
      </c>
      <c r="EU201">
        <v>0</v>
      </c>
      <c r="EV201">
        <v>0</v>
      </c>
      <c r="EW201">
        <v>0</v>
      </c>
      <c r="EX201">
        <v>0</v>
      </c>
      <c r="FQ201">
        <v>0</v>
      </c>
      <c r="FR201">
        <f t="shared" si="159"/>
        <v>0</v>
      </c>
      <c r="FS201">
        <v>0</v>
      </c>
      <c r="FX201">
        <v>0</v>
      </c>
      <c r="FY201">
        <v>0</v>
      </c>
      <c r="GD201">
        <v>1</v>
      </c>
      <c r="GF201">
        <v>463314004</v>
      </c>
      <c r="GG201">
        <v>2</v>
      </c>
      <c r="GH201">
        <v>1</v>
      </c>
      <c r="GI201">
        <v>4</v>
      </c>
      <c r="GJ201">
        <v>0</v>
      </c>
      <c r="GK201">
        <v>0</v>
      </c>
      <c r="GL201">
        <f t="shared" si="160"/>
        <v>0</v>
      </c>
      <c r="GM201">
        <f t="shared" si="161"/>
        <v>-435.93</v>
      </c>
      <c r="GN201">
        <f t="shared" si="162"/>
        <v>-435.93</v>
      </c>
      <c r="GO201">
        <f t="shared" si="163"/>
        <v>0</v>
      </c>
      <c r="GP201">
        <f t="shared" si="164"/>
        <v>0</v>
      </c>
      <c r="GR201">
        <v>0</v>
      </c>
      <c r="GS201">
        <v>3</v>
      </c>
      <c r="GT201">
        <v>0</v>
      </c>
      <c r="GV201">
        <f t="shared" si="165"/>
        <v>0</v>
      </c>
      <c r="GW201">
        <v>1</v>
      </c>
      <c r="GX201">
        <f t="shared" si="166"/>
        <v>0</v>
      </c>
      <c r="HA201">
        <v>0</v>
      </c>
      <c r="HB201">
        <v>0</v>
      </c>
      <c r="HC201">
        <f t="shared" si="167"/>
        <v>0</v>
      </c>
      <c r="HI201">
        <f t="shared" si="168"/>
        <v>0</v>
      </c>
      <c r="HJ201">
        <f t="shared" si="169"/>
        <v>0</v>
      </c>
      <c r="HK201">
        <f t="shared" si="170"/>
        <v>0</v>
      </c>
      <c r="HL201">
        <f t="shared" si="171"/>
        <v>0</v>
      </c>
      <c r="IK201">
        <v>0</v>
      </c>
    </row>
    <row r="202" spans="1:245" ht="12.75">
      <c r="A202">
        <v>17</v>
      </c>
      <c r="B202">
        <v>1</v>
      </c>
      <c r="C202">
        <f>ROW(SmtRes!A215)</f>
        <v>215</v>
      </c>
      <c r="D202">
        <f>ROW(EtalonRes!A220)</f>
        <v>220</v>
      </c>
      <c r="E202" t="s">
        <v>324</v>
      </c>
      <c r="F202" t="s">
        <v>325</v>
      </c>
      <c r="G202" t="s">
        <v>326</v>
      </c>
      <c r="H202" t="s">
        <v>327</v>
      </c>
      <c r="I202">
        <f>ROUND(4.6/1000,7)</f>
        <v>0.0046</v>
      </c>
      <c r="J202">
        <v>0</v>
      </c>
      <c r="K202">
        <f>ROUND(4.6/1000,7)</f>
        <v>0.0046</v>
      </c>
      <c r="O202">
        <f t="shared" si="133"/>
        <v>339.82</v>
      </c>
      <c r="P202">
        <f>ROUND(CQ202*I202,2)</f>
        <v>283.44</v>
      </c>
      <c r="Q202">
        <f t="shared" si="135"/>
        <v>55.25</v>
      </c>
      <c r="R202">
        <f t="shared" si="136"/>
        <v>1.48</v>
      </c>
      <c r="S202">
        <f t="shared" si="137"/>
        <v>1.13</v>
      </c>
      <c r="T202">
        <f t="shared" si="138"/>
        <v>0</v>
      </c>
      <c r="U202">
        <f t="shared" si="139"/>
        <v>0.13241927999999997</v>
      </c>
      <c r="V202">
        <f t="shared" si="140"/>
        <v>0.11965980000000001</v>
      </c>
      <c r="W202">
        <f t="shared" si="141"/>
        <v>0</v>
      </c>
      <c r="X202">
        <f t="shared" si="142"/>
        <v>3.84</v>
      </c>
      <c r="Y202">
        <f t="shared" si="143"/>
        <v>3.5</v>
      </c>
      <c r="AA202">
        <v>44571020</v>
      </c>
      <c r="AB202">
        <f t="shared" si="144"/>
        <v>73871.22</v>
      </c>
      <c r="AC202">
        <f t="shared" si="172"/>
        <v>61616.35</v>
      </c>
      <c r="AD202">
        <f>ROUND(((((ET202*ROUND((1.15*1.2),7)))-((EU202*ROUND((1.15*1.2),7))))+AE202),2)</f>
        <v>12010.18</v>
      </c>
      <c r="AE202">
        <f>ROUND(((EU202*ROUND((1.15*1.2),7))),2)</f>
        <v>320.68</v>
      </c>
      <c r="AF202">
        <f>ROUND(((EV202*ROUND((1.15*1.2),7))),2)</f>
        <v>244.69</v>
      </c>
      <c r="AG202">
        <f t="shared" si="146"/>
        <v>0</v>
      </c>
      <c r="AH202">
        <f>((EW202*ROUND((1.15*1.2),7)))</f>
        <v>28.786799999999996</v>
      </c>
      <c r="AI202">
        <f>((EX202*ROUND((1.15*1.2),7)))</f>
        <v>26.013</v>
      </c>
      <c r="AJ202">
        <f t="shared" si="147"/>
        <v>0</v>
      </c>
      <c r="AK202">
        <v>70496.69</v>
      </c>
      <c r="AL202">
        <v>61616.35</v>
      </c>
      <c r="AM202">
        <v>8703.03</v>
      </c>
      <c r="AN202">
        <v>232.38</v>
      </c>
      <c r="AO202">
        <v>177.31</v>
      </c>
      <c r="AP202">
        <v>0</v>
      </c>
      <c r="AQ202">
        <v>20.86</v>
      </c>
      <c r="AR202">
        <v>18.85</v>
      </c>
      <c r="AS202">
        <v>0</v>
      </c>
      <c r="AT202">
        <v>147</v>
      </c>
      <c r="AU202">
        <v>134</v>
      </c>
      <c r="AV202">
        <v>1</v>
      </c>
      <c r="AW202">
        <v>1</v>
      </c>
      <c r="AZ202">
        <v>1</v>
      </c>
      <c r="BA202">
        <v>28.93</v>
      </c>
      <c r="BB202">
        <v>1</v>
      </c>
      <c r="BC202">
        <v>1</v>
      </c>
      <c r="BH202">
        <v>0</v>
      </c>
      <c r="BI202">
        <v>1</v>
      </c>
      <c r="BJ202" t="s">
        <v>328</v>
      </c>
      <c r="BM202">
        <v>27001</v>
      </c>
      <c r="BN202">
        <v>0</v>
      </c>
      <c r="BP202">
        <v>0</v>
      </c>
      <c r="BQ202">
        <v>2</v>
      </c>
      <c r="BR202">
        <v>0</v>
      </c>
      <c r="BS202">
        <v>28.93</v>
      </c>
      <c r="BT202">
        <v>1</v>
      </c>
      <c r="BU202">
        <v>1</v>
      </c>
      <c r="BV202">
        <v>1</v>
      </c>
      <c r="BW202">
        <v>1</v>
      </c>
      <c r="BX202">
        <v>1</v>
      </c>
      <c r="BZ202">
        <v>147</v>
      </c>
      <c r="CA202">
        <v>134</v>
      </c>
      <c r="CE202">
        <v>0</v>
      </c>
      <c r="CF202">
        <v>0</v>
      </c>
      <c r="CG202">
        <v>0</v>
      </c>
      <c r="CM202">
        <v>0</v>
      </c>
      <c r="CO202">
        <v>0</v>
      </c>
      <c r="CP202">
        <f t="shared" si="148"/>
        <v>339.82</v>
      </c>
      <c r="CQ202">
        <f>AC202*BC202</f>
        <v>61616.35</v>
      </c>
      <c r="CR202">
        <f t="shared" si="150"/>
        <v>12010.18</v>
      </c>
      <c r="CS202">
        <f t="shared" si="151"/>
        <v>320.68</v>
      </c>
      <c r="CT202">
        <f t="shared" si="152"/>
        <v>244.69</v>
      </c>
      <c r="CU202">
        <f t="shared" si="153"/>
        <v>0</v>
      </c>
      <c r="CV202">
        <f t="shared" si="154"/>
        <v>28.786799999999996</v>
      </c>
      <c r="CW202">
        <f t="shared" si="155"/>
        <v>26.013</v>
      </c>
      <c r="CX202">
        <f t="shared" si="156"/>
        <v>0</v>
      </c>
      <c r="CY202">
        <f t="shared" si="157"/>
        <v>3.8366999999999996</v>
      </c>
      <c r="CZ202">
        <f t="shared" si="158"/>
        <v>3.4974000000000003</v>
      </c>
      <c r="DE202" t="s">
        <v>86</v>
      </c>
      <c r="DF202" t="s">
        <v>86</v>
      </c>
      <c r="DG202" t="s">
        <v>86</v>
      </c>
      <c r="DI202" t="s">
        <v>86</v>
      </c>
      <c r="DJ202" t="s">
        <v>86</v>
      </c>
      <c r="DN202">
        <v>0</v>
      </c>
      <c r="DO202">
        <v>0</v>
      </c>
      <c r="DP202">
        <v>1</v>
      </c>
      <c r="DQ202">
        <v>1</v>
      </c>
      <c r="DU202">
        <v>1013</v>
      </c>
      <c r="DV202" t="s">
        <v>327</v>
      </c>
      <c r="DW202" t="s">
        <v>327</v>
      </c>
      <c r="DX202">
        <v>1</v>
      </c>
      <c r="EE202">
        <v>37976085</v>
      </c>
      <c r="EF202">
        <v>2</v>
      </c>
      <c r="EG202" t="s">
        <v>23</v>
      </c>
      <c r="EH202">
        <v>21</v>
      </c>
      <c r="EI202" t="s">
        <v>256</v>
      </c>
      <c r="EJ202">
        <v>1</v>
      </c>
      <c r="EK202">
        <v>27001</v>
      </c>
      <c r="EL202" t="s">
        <v>256</v>
      </c>
      <c r="EM202" t="s">
        <v>258</v>
      </c>
      <c r="EQ202">
        <v>0</v>
      </c>
      <c r="ER202">
        <v>70496.69</v>
      </c>
      <c r="ES202">
        <v>61616.35</v>
      </c>
      <c r="ET202">
        <v>8703.03</v>
      </c>
      <c r="EU202">
        <v>232.38</v>
      </c>
      <c r="EV202">
        <v>177.31</v>
      </c>
      <c r="EW202">
        <v>20.86</v>
      </c>
      <c r="EX202">
        <v>18.85</v>
      </c>
      <c r="EY202">
        <v>0</v>
      </c>
      <c r="FQ202">
        <v>0</v>
      </c>
      <c r="FR202">
        <f t="shared" si="159"/>
        <v>0</v>
      </c>
      <c r="FS202">
        <v>0</v>
      </c>
      <c r="FX202">
        <v>147</v>
      </c>
      <c r="FY202">
        <v>134</v>
      </c>
      <c r="GD202">
        <v>1</v>
      </c>
      <c r="GF202">
        <v>-1827503098</v>
      </c>
      <c r="GG202">
        <v>2</v>
      </c>
      <c r="GH202">
        <v>1</v>
      </c>
      <c r="GI202">
        <v>4</v>
      </c>
      <c r="GJ202">
        <v>0</v>
      </c>
      <c r="GK202">
        <v>0</v>
      </c>
      <c r="GL202">
        <f t="shared" si="160"/>
        <v>0</v>
      </c>
      <c r="GM202">
        <f t="shared" si="161"/>
        <v>347.16</v>
      </c>
      <c r="GN202">
        <f t="shared" si="162"/>
        <v>347.16</v>
      </c>
      <c r="GO202">
        <f t="shared" si="163"/>
        <v>0</v>
      </c>
      <c r="GP202">
        <f t="shared" si="164"/>
        <v>0</v>
      </c>
      <c r="GR202">
        <v>0</v>
      </c>
      <c r="GS202">
        <v>3</v>
      </c>
      <c r="GT202">
        <v>0</v>
      </c>
      <c r="GV202">
        <f t="shared" si="165"/>
        <v>0</v>
      </c>
      <c r="GW202">
        <v>1</v>
      </c>
      <c r="GX202">
        <f t="shared" si="166"/>
        <v>0</v>
      </c>
      <c r="HA202">
        <v>0</v>
      </c>
      <c r="HB202">
        <v>0</v>
      </c>
      <c r="HC202">
        <f t="shared" si="167"/>
        <v>0</v>
      </c>
      <c r="HI202">
        <f t="shared" si="168"/>
        <v>42.82</v>
      </c>
      <c r="HJ202">
        <f t="shared" si="169"/>
        <v>32.69</v>
      </c>
      <c r="HK202">
        <f t="shared" si="170"/>
        <v>111</v>
      </c>
      <c r="HL202">
        <f t="shared" si="171"/>
        <v>101.18</v>
      </c>
      <c r="HN202" t="s">
        <v>259</v>
      </c>
      <c r="HO202" t="s">
        <v>260</v>
      </c>
      <c r="HP202" t="s">
        <v>256</v>
      </c>
      <c r="HQ202" t="s">
        <v>256</v>
      </c>
      <c r="IK202">
        <v>0</v>
      </c>
    </row>
    <row r="203" spans="1:245" ht="12.75">
      <c r="A203">
        <v>18</v>
      </c>
      <c r="B203">
        <v>1</v>
      </c>
      <c r="C203">
        <v>214</v>
      </c>
      <c r="E203" t="s">
        <v>329</v>
      </c>
      <c r="F203" t="s">
        <v>330</v>
      </c>
      <c r="G203" t="s">
        <v>331</v>
      </c>
      <c r="H203" t="s">
        <v>322</v>
      </c>
      <c r="I203">
        <f>I202*J203</f>
        <v>-0.484196</v>
      </c>
      <c r="J203">
        <v>-105.26</v>
      </c>
      <c r="K203">
        <v>-105.26</v>
      </c>
      <c r="O203">
        <f t="shared" si="133"/>
        <v>-249.33</v>
      </c>
      <c r="P203">
        <f>ROUND(CQ203*I203,2)</f>
        <v>-249.33</v>
      </c>
      <c r="Q203">
        <f t="shared" si="135"/>
        <v>0</v>
      </c>
      <c r="R203">
        <f t="shared" si="136"/>
        <v>0</v>
      </c>
      <c r="S203">
        <f t="shared" si="137"/>
        <v>0</v>
      </c>
      <c r="T203">
        <f t="shared" si="138"/>
        <v>0</v>
      </c>
      <c r="U203">
        <f t="shared" si="139"/>
        <v>0</v>
      </c>
      <c r="V203">
        <f t="shared" si="140"/>
        <v>0</v>
      </c>
      <c r="W203">
        <f t="shared" si="141"/>
        <v>0</v>
      </c>
      <c r="X203">
        <f t="shared" si="142"/>
        <v>0</v>
      </c>
      <c r="Y203">
        <f t="shared" si="143"/>
        <v>0</v>
      </c>
      <c r="AA203">
        <v>44571020</v>
      </c>
      <c r="AB203">
        <f t="shared" si="144"/>
        <v>514.93</v>
      </c>
      <c r="AC203">
        <f t="shared" si="172"/>
        <v>514.93</v>
      </c>
      <c r="AD203">
        <f>ROUND((((ET203)-(EU203))+AE203),2)</f>
        <v>0</v>
      </c>
      <c r="AE203">
        <f>ROUND((EU203),2)</f>
        <v>0</v>
      </c>
      <c r="AF203">
        <f>ROUND((EV203),2)</f>
        <v>0</v>
      </c>
      <c r="AG203">
        <f t="shared" si="146"/>
        <v>0</v>
      </c>
      <c r="AH203">
        <f>(EW203)</f>
        <v>0</v>
      </c>
      <c r="AI203">
        <f>(EX203)</f>
        <v>0</v>
      </c>
      <c r="AJ203">
        <f t="shared" si="147"/>
        <v>0</v>
      </c>
      <c r="AK203">
        <v>514.93</v>
      </c>
      <c r="AL203">
        <v>514.93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147</v>
      </c>
      <c r="AU203">
        <v>134</v>
      </c>
      <c r="AV203">
        <v>1</v>
      </c>
      <c r="AW203">
        <v>1</v>
      </c>
      <c r="AZ203">
        <v>1</v>
      </c>
      <c r="BA203">
        <v>1</v>
      </c>
      <c r="BB203">
        <v>1</v>
      </c>
      <c r="BC203">
        <v>1</v>
      </c>
      <c r="BH203">
        <v>3</v>
      </c>
      <c r="BI203">
        <v>1</v>
      </c>
      <c r="BJ203" t="s">
        <v>332</v>
      </c>
      <c r="BM203">
        <v>27001</v>
      </c>
      <c r="BN203">
        <v>0</v>
      </c>
      <c r="BP203">
        <v>0</v>
      </c>
      <c r="BQ203">
        <v>2</v>
      </c>
      <c r="BR203">
        <v>1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Z203">
        <v>147</v>
      </c>
      <c r="CA203">
        <v>134</v>
      </c>
      <c r="CE203">
        <v>0</v>
      </c>
      <c r="CF203">
        <v>0</v>
      </c>
      <c r="CG203">
        <v>0</v>
      </c>
      <c r="CM203">
        <v>0</v>
      </c>
      <c r="CO203">
        <v>0</v>
      </c>
      <c r="CP203">
        <f t="shared" si="148"/>
        <v>-249.33</v>
      </c>
      <c r="CQ203">
        <f>AC203*BC203</f>
        <v>514.93</v>
      </c>
      <c r="CR203">
        <f t="shared" si="150"/>
        <v>0</v>
      </c>
      <c r="CS203">
        <f t="shared" si="151"/>
        <v>0</v>
      </c>
      <c r="CT203">
        <f t="shared" si="152"/>
        <v>0</v>
      </c>
      <c r="CU203">
        <f t="shared" si="153"/>
        <v>0</v>
      </c>
      <c r="CV203">
        <f t="shared" si="154"/>
        <v>0</v>
      </c>
      <c r="CW203">
        <f t="shared" si="155"/>
        <v>0</v>
      </c>
      <c r="CX203">
        <f t="shared" si="156"/>
        <v>0</v>
      </c>
      <c r="CY203">
        <f t="shared" si="157"/>
        <v>0</v>
      </c>
      <c r="CZ203">
        <f t="shared" si="158"/>
        <v>0</v>
      </c>
      <c r="DN203">
        <v>0</v>
      </c>
      <c r="DO203">
        <v>0</v>
      </c>
      <c r="DP203">
        <v>1</v>
      </c>
      <c r="DQ203">
        <v>1</v>
      </c>
      <c r="DU203">
        <v>1009</v>
      </c>
      <c r="DV203" t="s">
        <v>322</v>
      </c>
      <c r="DW203" t="s">
        <v>322</v>
      </c>
      <c r="DX203">
        <v>1000</v>
      </c>
      <c r="EE203">
        <v>37976085</v>
      </c>
      <c r="EF203">
        <v>2</v>
      </c>
      <c r="EG203" t="s">
        <v>23</v>
      </c>
      <c r="EH203">
        <v>21</v>
      </c>
      <c r="EI203" t="s">
        <v>256</v>
      </c>
      <c r="EJ203">
        <v>1</v>
      </c>
      <c r="EK203">
        <v>27001</v>
      </c>
      <c r="EL203" t="s">
        <v>256</v>
      </c>
      <c r="EM203" t="s">
        <v>258</v>
      </c>
      <c r="EQ203">
        <v>32768</v>
      </c>
      <c r="ER203">
        <v>514.93</v>
      </c>
      <c r="ES203">
        <v>514.93</v>
      </c>
      <c r="ET203">
        <v>0</v>
      </c>
      <c r="EU203">
        <v>0</v>
      </c>
      <c r="EV203">
        <v>0</v>
      </c>
      <c r="EW203">
        <v>0</v>
      </c>
      <c r="EX203">
        <v>0</v>
      </c>
      <c r="FQ203">
        <v>0</v>
      </c>
      <c r="FR203">
        <f t="shared" si="159"/>
        <v>0</v>
      </c>
      <c r="FS203">
        <v>0</v>
      </c>
      <c r="FX203">
        <v>147</v>
      </c>
      <c r="FY203">
        <v>134</v>
      </c>
      <c r="GD203">
        <v>1</v>
      </c>
      <c r="GF203">
        <v>1939557509</v>
      </c>
      <c r="GG203">
        <v>2</v>
      </c>
      <c r="GH203">
        <v>1</v>
      </c>
      <c r="GI203">
        <v>4</v>
      </c>
      <c r="GJ203">
        <v>0</v>
      </c>
      <c r="GK203">
        <v>0</v>
      </c>
      <c r="GL203">
        <f t="shared" si="160"/>
        <v>0</v>
      </c>
      <c r="GM203">
        <f t="shared" si="161"/>
        <v>-249.33</v>
      </c>
      <c r="GN203">
        <f t="shared" si="162"/>
        <v>-249.33</v>
      </c>
      <c r="GO203">
        <f t="shared" si="163"/>
        <v>0</v>
      </c>
      <c r="GP203">
        <f t="shared" si="164"/>
        <v>0</v>
      </c>
      <c r="GR203">
        <v>0</v>
      </c>
      <c r="GS203">
        <v>3</v>
      </c>
      <c r="GT203">
        <v>0</v>
      </c>
      <c r="GV203">
        <f t="shared" si="165"/>
        <v>0</v>
      </c>
      <c r="GW203">
        <v>1</v>
      </c>
      <c r="GX203">
        <f t="shared" si="166"/>
        <v>0</v>
      </c>
      <c r="HA203">
        <v>0</v>
      </c>
      <c r="HB203">
        <v>0</v>
      </c>
      <c r="HC203">
        <f t="shared" si="167"/>
        <v>0</v>
      </c>
      <c r="HI203">
        <f t="shared" si="168"/>
        <v>0</v>
      </c>
      <c r="HJ203">
        <f t="shared" si="169"/>
        <v>0</v>
      </c>
      <c r="HK203">
        <f t="shared" si="170"/>
        <v>0</v>
      </c>
      <c r="HL203">
        <f t="shared" si="171"/>
        <v>0</v>
      </c>
      <c r="HN203" t="s">
        <v>259</v>
      </c>
      <c r="HO203" t="s">
        <v>260</v>
      </c>
      <c r="HP203" t="s">
        <v>256</v>
      </c>
      <c r="HQ203" t="s">
        <v>256</v>
      </c>
      <c r="IK203">
        <v>0</v>
      </c>
    </row>
    <row r="204" spans="1:245" ht="12.75">
      <c r="A204">
        <v>17</v>
      </c>
      <c r="B204">
        <v>1</v>
      </c>
      <c r="E204" t="s">
        <v>333</v>
      </c>
      <c r="F204" t="s">
        <v>300</v>
      </c>
      <c r="G204" t="s">
        <v>334</v>
      </c>
      <c r="H204" t="s">
        <v>311</v>
      </c>
      <c r="I204">
        <f>ROUND(1.1615+0.484196,7)</f>
        <v>1.645696</v>
      </c>
      <c r="J204">
        <v>0</v>
      </c>
      <c r="K204">
        <f>ROUND(1.1615+0.484196,7)</f>
        <v>1.645696</v>
      </c>
      <c r="O204">
        <f t="shared" si="133"/>
        <v>2698.94</v>
      </c>
      <c r="P204">
        <f>ROUND(ROUND(CQ204*I204,2)/BC204,2)</f>
        <v>2698.94</v>
      </c>
      <c r="Q204">
        <f t="shared" si="135"/>
        <v>0</v>
      </c>
      <c r="R204">
        <f t="shared" si="136"/>
        <v>0</v>
      </c>
      <c r="S204">
        <f t="shared" si="137"/>
        <v>0</v>
      </c>
      <c r="T204">
        <f t="shared" si="138"/>
        <v>0</v>
      </c>
      <c r="U204">
        <f t="shared" si="139"/>
        <v>0</v>
      </c>
      <c r="V204">
        <f t="shared" si="140"/>
        <v>0</v>
      </c>
      <c r="W204">
        <f t="shared" si="141"/>
        <v>0</v>
      </c>
      <c r="X204">
        <f t="shared" si="142"/>
        <v>0</v>
      </c>
      <c r="Y204">
        <f t="shared" si="143"/>
        <v>0</v>
      </c>
      <c r="AA204">
        <v>44571020</v>
      </c>
      <c r="AB204">
        <f t="shared" si="144"/>
        <v>8446</v>
      </c>
      <c r="AC204">
        <f t="shared" si="172"/>
        <v>8446</v>
      </c>
      <c r="AD204">
        <f>ROUND((((ET204)-(EU204))+AE204),2)</f>
        <v>0</v>
      </c>
      <c r="AE204">
        <f>ROUND((EU204),2)</f>
        <v>0</v>
      </c>
      <c r="AF204">
        <f>ROUND((EV204),2)</f>
        <v>0</v>
      </c>
      <c r="AG204">
        <f t="shared" si="146"/>
        <v>0</v>
      </c>
      <c r="AH204">
        <f>(EW204)</f>
        <v>0</v>
      </c>
      <c r="AI204">
        <f>(EX204)</f>
        <v>0</v>
      </c>
      <c r="AJ204">
        <f t="shared" si="147"/>
        <v>0</v>
      </c>
      <c r="AK204">
        <v>8446</v>
      </c>
      <c r="AL204">
        <v>8446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1</v>
      </c>
      <c r="AW204">
        <v>1</v>
      </c>
      <c r="AZ204">
        <v>1</v>
      </c>
      <c r="BA204">
        <v>1</v>
      </c>
      <c r="BB204">
        <v>1</v>
      </c>
      <c r="BC204">
        <v>5.15</v>
      </c>
      <c r="BH204">
        <v>3</v>
      </c>
      <c r="BI204">
        <v>2</v>
      </c>
      <c r="BJ204" t="s">
        <v>300</v>
      </c>
      <c r="BM204">
        <v>500004</v>
      </c>
      <c r="BN204">
        <v>0</v>
      </c>
      <c r="BP204">
        <v>0</v>
      </c>
      <c r="BQ204">
        <v>14</v>
      </c>
      <c r="BR204">
        <v>0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Z204">
        <v>0</v>
      </c>
      <c r="CA204">
        <v>0</v>
      </c>
      <c r="CE204">
        <v>0</v>
      </c>
      <c r="CF204">
        <v>0</v>
      </c>
      <c r="CG204">
        <v>0</v>
      </c>
      <c r="CM204">
        <v>0</v>
      </c>
      <c r="CO204">
        <v>0</v>
      </c>
      <c r="CP204">
        <f t="shared" si="148"/>
        <v>2698.94</v>
      </c>
      <c r="CQ204">
        <f>AC204</f>
        <v>8446</v>
      </c>
      <c r="CR204">
        <f t="shared" si="150"/>
        <v>0</v>
      </c>
      <c r="CS204">
        <f t="shared" si="151"/>
        <v>0</v>
      </c>
      <c r="CT204">
        <f t="shared" si="152"/>
        <v>0</v>
      </c>
      <c r="CU204">
        <f t="shared" si="153"/>
        <v>0</v>
      </c>
      <c r="CV204">
        <f t="shared" si="154"/>
        <v>0</v>
      </c>
      <c r="CW204">
        <f t="shared" si="155"/>
        <v>0</v>
      </c>
      <c r="CX204">
        <f t="shared" si="156"/>
        <v>0</v>
      </c>
      <c r="CY204">
        <f t="shared" si="157"/>
        <v>0</v>
      </c>
      <c r="CZ204">
        <f t="shared" si="158"/>
        <v>0</v>
      </c>
      <c r="DN204">
        <v>0</v>
      </c>
      <c r="DO204">
        <v>0</v>
      </c>
      <c r="DP204">
        <v>1</v>
      </c>
      <c r="DQ204">
        <v>1</v>
      </c>
      <c r="DU204">
        <v>1013</v>
      </c>
      <c r="DV204" t="s">
        <v>311</v>
      </c>
      <c r="DW204" t="s">
        <v>311</v>
      </c>
      <c r="DX204">
        <v>1</v>
      </c>
      <c r="EE204">
        <v>37976239</v>
      </c>
      <c r="EF204">
        <v>14</v>
      </c>
      <c r="EG204" t="s">
        <v>301</v>
      </c>
      <c r="EH204">
        <v>0</v>
      </c>
      <c r="EJ204">
        <v>2</v>
      </c>
      <c r="EK204">
        <v>500004</v>
      </c>
      <c r="EL204" t="s">
        <v>302</v>
      </c>
      <c r="EM204" t="s">
        <v>303</v>
      </c>
      <c r="EQ204">
        <v>0</v>
      </c>
      <c r="ER204">
        <v>8446</v>
      </c>
      <c r="ES204">
        <v>8446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5</v>
      </c>
      <c r="FC204">
        <v>0</v>
      </c>
      <c r="FD204">
        <v>18</v>
      </c>
      <c r="FF204">
        <v>8446</v>
      </c>
      <c r="FQ204">
        <v>0</v>
      </c>
      <c r="FR204">
        <f t="shared" si="159"/>
        <v>0</v>
      </c>
      <c r="FS204">
        <v>0</v>
      </c>
      <c r="FX204">
        <v>0</v>
      </c>
      <c r="FY204">
        <v>0</v>
      </c>
      <c r="GD204">
        <v>1</v>
      </c>
      <c r="GF204">
        <v>-1669819457</v>
      </c>
      <c r="GG204">
        <v>2</v>
      </c>
      <c r="GH204">
        <v>3</v>
      </c>
      <c r="GI204">
        <v>4</v>
      </c>
      <c r="GJ204">
        <v>0</v>
      </c>
      <c r="GK204">
        <v>0</v>
      </c>
      <c r="GL204">
        <f t="shared" si="160"/>
        <v>0</v>
      </c>
      <c r="GM204">
        <f t="shared" si="161"/>
        <v>2698.94</v>
      </c>
      <c r="GN204">
        <f t="shared" si="162"/>
        <v>0</v>
      </c>
      <c r="GO204">
        <f t="shared" si="163"/>
        <v>2698.94</v>
      </c>
      <c r="GP204">
        <f t="shared" si="164"/>
        <v>0</v>
      </c>
      <c r="GR204">
        <v>1</v>
      </c>
      <c r="GS204">
        <v>1</v>
      </c>
      <c r="GT204">
        <v>0</v>
      </c>
      <c r="GV204">
        <f t="shared" si="165"/>
        <v>0</v>
      </c>
      <c r="GW204">
        <v>1</v>
      </c>
      <c r="GX204">
        <f t="shared" si="166"/>
        <v>0</v>
      </c>
      <c r="HA204">
        <v>0</v>
      </c>
      <c r="HB204">
        <v>0</v>
      </c>
      <c r="HC204">
        <f t="shared" si="167"/>
        <v>0</v>
      </c>
      <c r="HG204">
        <f>ROUND(AC204*I204,2)</f>
        <v>13899.55</v>
      </c>
      <c r="HI204">
        <f t="shared" si="168"/>
        <v>0</v>
      </c>
      <c r="HJ204">
        <f t="shared" si="169"/>
        <v>0</v>
      </c>
      <c r="HK204">
        <f t="shared" si="170"/>
        <v>0</v>
      </c>
      <c r="HL204">
        <f t="shared" si="171"/>
        <v>0</v>
      </c>
      <c r="IK204">
        <v>0</v>
      </c>
    </row>
    <row r="206" spans="1:206" ht="12.75">
      <c r="A206" s="2">
        <v>51</v>
      </c>
      <c r="B206" s="2">
        <f>B184</f>
        <v>1</v>
      </c>
      <c r="C206" s="2">
        <f>A184</f>
        <v>4</v>
      </c>
      <c r="D206" s="2">
        <f>ROW(A184)</f>
        <v>184</v>
      </c>
      <c r="E206" s="2"/>
      <c r="F206" s="2" t="str">
        <f>IF(F184&lt;&gt;"",F184,"")</f>
        <v>Новый раздел</v>
      </c>
      <c r="G206" s="2" t="str">
        <f>IF(G184&lt;&gt;"",G184,"")</f>
        <v>Вскрытие и восстановление асфальта</v>
      </c>
      <c r="H206" s="2">
        <v>0</v>
      </c>
      <c r="I206" s="2"/>
      <c r="J206" s="2"/>
      <c r="K206" s="2"/>
      <c r="L206" s="2"/>
      <c r="M206" s="2"/>
      <c r="N206" s="2"/>
      <c r="O206" s="2">
        <f aca="true" t="shared" si="173" ref="O206:T206">ROUND(AB206,2)</f>
        <v>3597.94</v>
      </c>
      <c r="P206" s="2">
        <f t="shared" si="173"/>
        <v>3314.39</v>
      </c>
      <c r="Q206" s="2">
        <f t="shared" si="173"/>
        <v>268.43</v>
      </c>
      <c r="R206" s="2">
        <f t="shared" si="173"/>
        <v>12.81</v>
      </c>
      <c r="S206" s="2">
        <f t="shared" si="173"/>
        <v>15.12</v>
      </c>
      <c r="T206" s="2">
        <f t="shared" si="173"/>
        <v>0</v>
      </c>
      <c r="U206" s="2">
        <f>AH206</f>
        <v>2.85434886</v>
      </c>
      <c r="V206" s="2">
        <f>AI206</f>
        <v>1.57793736</v>
      </c>
      <c r="W206" s="2">
        <f>ROUND(AJ206,2)</f>
        <v>0</v>
      </c>
      <c r="X206" s="2">
        <f>ROUND(AK206,2)</f>
        <v>41.06</v>
      </c>
      <c r="Y206" s="2">
        <f>ROUND(AL206,2)</f>
        <v>32.14</v>
      </c>
      <c r="Z206" s="2"/>
      <c r="AA206" s="2"/>
      <c r="AB206" s="2">
        <f>ROUND(SUMIF(AA188:AA204,"=44571020",O188:O204),2)</f>
        <v>3597.94</v>
      </c>
      <c r="AC206" s="2">
        <f>ROUND(SUMIF(AA188:AA204,"=44571020",P188:P204),2)</f>
        <v>3314.39</v>
      </c>
      <c r="AD206" s="2">
        <f>ROUND(SUMIF(AA188:AA204,"=44571020",Q188:Q204),2)</f>
        <v>268.43</v>
      </c>
      <c r="AE206" s="2">
        <f>ROUND(SUMIF(AA188:AA204,"=44571020",R188:R204),2)</f>
        <v>12.81</v>
      </c>
      <c r="AF206" s="2">
        <f>ROUND(SUMIF(AA188:AA204,"=44571020",S188:S204),2)</f>
        <v>15.12</v>
      </c>
      <c r="AG206" s="2">
        <f>ROUND(SUMIF(AA188:AA204,"=44571020",T188:T204),2)</f>
        <v>0</v>
      </c>
      <c r="AH206" s="2">
        <f>SUMIF(AA188:AA204,"=44571020",U188:U204)</f>
        <v>2.85434886</v>
      </c>
      <c r="AI206" s="2">
        <f>SUMIF(AA188:AA204,"=44571020",V188:V204)</f>
        <v>1.57793736</v>
      </c>
      <c r="AJ206" s="2">
        <f>ROUND(SUMIF(AA188:AA204,"=44571020",W188:W204),2)</f>
        <v>0</v>
      </c>
      <c r="AK206" s="2">
        <f>ROUND(SUMIF(AA188:AA204,"=44571020",X188:X204),2)</f>
        <v>41.06</v>
      </c>
      <c r="AL206" s="2">
        <f>ROUND(SUMIF(AA188:AA204,"=44571020",Y188:Y204),2)</f>
        <v>32.14</v>
      </c>
      <c r="AM206" s="2"/>
      <c r="AN206" s="2"/>
      <c r="AO206" s="2">
        <f aca="true" t="shared" si="174" ref="AO206:BD206">ROUND(BX206,2)</f>
        <v>0</v>
      </c>
      <c r="AP206" s="2">
        <f t="shared" si="174"/>
        <v>0</v>
      </c>
      <c r="AQ206" s="2">
        <f t="shared" si="174"/>
        <v>0</v>
      </c>
      <c r="AR206" s="2">
        <f t="shared" si="174"/>
        <v>3671.14</v>
      </c>
      <c r="AS206" s="2">
        <f t="shared" si="174"/>
        <v>399.6</v>
      </c>
      <c r="AT206" s="2">
        <f t="shared" si="174"/>
        <v>3271.54</v>
      </c>
      <c r="AU206" s="2">
        <f t="shared" si="174"/>
        <v>0</v>
      </c>
      <c r="AV206" s="2">
        <f t="shared" si="174"/>
        <v>3314.39</v>
      </c>
      <c r="AW206" s="2">
        <f t="shared" si="174"/>
        <v>3314.39</v>
      </c>
      <c r="AX206" s="2">
        <f t="shared" si="174"/>
        <v>0</v>
      </c>
      <c r="AY206" s="2">
        <f t="shared" si="174"/>
        <v>3314.39</v>
      </c>
      <c r="AZ206" s="2">
        <f t="shared" si="174"/>
        <v>0</v>
      </c>
      <c r="BA206" s="2">
        <f t="shared" si="174"/>
        <v>0</v>
      </c>
      <c r="BB206" s="2">
        <f t="shared" si="174"/>
        <v>0</v>
      </c>
      <c r="BC206" s="2">
        <f t="shared" si="174"/>
        <v>0</v>
      </c>
      <c r="BD206" s="2">
        <f t="shared" si="174"/>
        <v>95.98</v>
      </c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>
        <f>ROUND(SUMIF(AA188:AA204,"=44571020",FQ188:FQ204),2)</f>
        <v>0</v>
      </c>
      <c r="BY206" s="2">
        <f>ROUND(SUMIF(AA188:AA204,"=44571020",FR188:FR204),2)</f>
        <v>0</v>
      </c>
      <c r="BZ206" s="2">
        <f>ROUND(SUMIF(AA188:AA204,"=44571020",GL188:GL204),2)</f>
        <v>0</v>
      </c>
      <c r="CA206" s="2">
        <f>ROUND(SUMIF(AA188:AA204,"=44571020",GM188:GM204),2)</f>
        <v>3671.14</v>
      </c>
      <c r="CB206" s="2">
        <f>ROUND(SUMIF(AA188:AA204,"=44571020",GN188:GN204),2)</f>
        <v>399.6</v>
      </c>
      <c r="CC206" s="2">
        <f>ROUND(SUMIF(AA188:AA204,"=44571020",GO188:GO204),2)</f>
        <v>3271.54</v>
      </c>
      <c r="CD206" s="2">
        <f>ROUND(SUMIF(AA188:AA204,"=44571020",GP188:GP204),2)</f>
        <v>0</v>
      </c>
      <c r="CE206" s="2">
        <f>AC206-BX206</f>
        <v>3314.39</v>
      </c>
      <c r="CF206" s="2">
        <f>AC206-BY206</f>
        <v>3314.39</v>
      </c>
      <c r="CG206" s="2">
        <f>BX206-BZ206</f>
        <v>0</v>
      </c>
      <c r="CH206" s="2">
        <f>AC206-BX206-BY206+BZ206</f>
        <v>3314.39</v>
      </c>
      <c r="CI206" s="2">
        <f>BY206-BZ206</f>
        <v>0</v>
      </c>
      <c r="CJ206" s="2">
        <f>ROUND(SUMIF(AA188:AA204,"=44571020",GX188:GX204),2)</f>
        <v>0</v>
      </c>
      <c r="CK206" s="2">
        <f>ROUND(SUMIF(AA188:AA204,"=44571020",GY188:GY204),2)</f>
        <v>0</v>
      </c>
      <c r="CL206" s="2">
        <f>ROUND(SUMIF(AA188:AA204,"=44571020",GZ188:GZ204),2)</f>
        <v>0</v>
      </c>
      <c r="CM206" s="2">
        <f>ROUND(SUMIF(AA188:AA204,"=44571020",HD188:HD204),2)</f>
        <v>95.98</v>
      </c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>
        <v>0</v>
      </c>
    </row>
    <row r="208" spans="1:28" ht="12.75">
      <c r="A208" s="4">
        <v>50</v>
      </c>
      <c r="B208" s="4">
        <v>0</v>
      </c>
      <c r="C208" s="4">
        <v>0</v>
      </c>
      <c r="D208" s="4">
        <v>1</v>
      </c>
      <c r="E208" s="4">
        <v>0</v>
      </c>
      <c r="F208" s="4">
        <f>ROUND(Source!O206,O208)</f>
        <v>3597.94</v>
      </c>
      <c r="G208" s="4" t="s">
        <v>95</v>
      </c>
      <c r="H208" s="4" t="s">
        <v>96</v>
      </c>
      <c r="I208" s="4"/>
      <c r="J208" s="4"/>
      <c r="K208" s="4">
        <v>201</v>
      </c>
      <c r="L208" s="4">
        <v>1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>
        <v>3597.94</v>
      </c>
      <c r="X208" s="4">
        <v>1</v>
      </c>
      <c r="Y208" s="4">
        <v>19578.81</v>
      </c>
      <c r="Z208" s="4"/>
      <c r="AA208" s="4"/>
      <c r="AB208" s="4"/>
    </row>
    <row r="209" spans="1:28" ht="12.75">
      <c r="A209" s="4">
        <v>50</v>
      </c>
      <c r="B209" s="4">
        <v>0</v>
      </c>
      <c r="C209" s="4">
        <v>0</v>
      </c>
      <c r="D209" s="4">
        <v>1</v>
      </c>
      <c r="E209" s="4">
        <v>202</v>
      </c>
      <c r="F209" s="4">
        <f>ROUND(Source!P206,O209)</f>
        <v>3314.39</v>
      </c>
      <c r="G209" s="4" t="s">
        <v>97</v>
      </c>
      <c r="H209" s="4" t="s">
        <v>98</v>
      </c>
      <c r="I209" s="4"/>
      <c r="J209" s="4"/>
      <c r="K209" s="4">
        <v>202</v>
      </c>
      <c r="L209" s="4">
        <v>2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>
        <v>3314.39</v>
      </c>
      <c r="X209" s="4">
        <v>1</v>
      </c>
      <c r="Y209" s="4">
        <v>0</v>
      </c>
      <c r="Z209" s="4"/>
      <c r="AA209" s="4"/>
      <c r="AB209" s="4"/>
    </row>
    <row r="210" spans="1:28" ht="12.75">
      <c r="A210" s="4">
        <v>50</v>
      </c>
      <c r="B210" s="4">
        <v>0</v>
      </c>
      <c r="C210" s="4">
        <v>0</v>
      </c>
      <c r="D210" s="4">
        <v>1</v>
      </c>
      <c r="E210" s="4">
        <v>222</v>
      </c>
      <c r="F210" s="4">
        <f>ROUND(Source!AO206,O210)</f>
        <v>0</v>
      </c>
      <c r="G210" s="4" t="s">
        <v>99</v>
      </c>
      <c r="H210" s="4" t="s">
        <v>100</v>
      </c>
      <c r="I210" s="4"/>
      <c r="J210" s="4"/>
      <c r="K210" s="4">
        <v>222</v>
      </c>
      <c r="L210" s="4">
        <v>3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>
        <v>0</v>
      </c>
      <c r="X210" s="4">
        <v>1</v>
      </c>
      <c r="Y210" s="4">
        <v>0</v>
      </c>
      <c r="Z210" s="4"/>
      <c r="AA210" s="4"/>
      <c r="AB210" s="4"/>
    </row>
    <row r="211" spans="1:28" ht="12.75">
      <c r="A211" s="4">
        <v>50</v>
      </c>
      <c r="B211" s="4">
        <v>0</v>
      </c>
      <c r="C211" s="4">
        <v>0</v>
      </c>
      <c r="D211" s="4">
        <v>1</v>
      </c>
      <c r="E211" s="4">
        <v>225</v>
      </c>
      <c r="F211" s="4">
        <f>ROUND(Source!AV206,O211)</f>
        <v>3314.39</v>
      </c>
      <c r="G211" s="4" t="s">
        <v>101</v>
      </c>
      <c r="H211" s="4" t="s">
        <v>102</v>
      </c>
      <c r="I211" s="4"/>
      <c r="J211" s="4"/>
      <c r="K211" s="4">
        <v>225</v>
      </c>
      <c r="L211" s="4">
        <v>4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>
        <v>3314.39</v>
      </c>
      <c r="X211" s="4">
        <v>1</v>
      </c>
      <c r="Y211" s="4">
        <v>0</v>
      </c>
      <c r="Z211" s="4"/>
      <c r="AA211" s="4"/>
      <c r="AB211" s="4"/>
    </row>
    <row r="212" spans="1:28" ht="12.75">
      <c r="A212" s="4">
        <v>50</v>
      </c>
      <c r="B212" s="4">
        <v>0</v>
      </c>
      <c r="C212" s="4">
        <v>0</v>
      </c>
      <c r="D212" s="4">
        <v>1</v>
      </c>
      <c r="E212" s="4">
        <v>226</v>
      </c>
      <c r="F212" s="4">
        <f>ROUND(Source!AW206,O212)</f>
        <v>3314.39</v>
      </c>
      <c r="G212" s="4" t="s">
        <v>103</v>
      </c>
      <c r="H212" s="4" t="s">
        <v>104</v>
      </c>
      <c r="I212" s="4"/>
      <c r="J212" s="4"/>
      <c r="K212" s="4">
        <v>226</v>
      </c>
      <c r="L212" s="4">
        <v>5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>
        <v>3314.39</v>
      </c>
      <c r="X212" s="4">
        <v>1</v>
      </c>
      <c r="Y212" s="4">
        <v>17069.11</v>
      </c>
      <c r="Z212" s="4"/>
      <c r="AA212" s="4"/>
      <c r="AB212" s="4"/>
    </row>
    <row r="213" spans="1:28" ht="12.75">
      <c r="A213" s="4">
        <v>50</v>
      </c>
      <c r="B213" s="4">
        <v>0</v>
      </c>
      <c r="C213" s="4">
        <v>0</v>
      </c>
      <c r="D213" s="4">
        <v>1</v>
      </c>
      <c r="E213" s="4">
        <v>227</v>
      </c>
      <c r="F213" s="4">
        <f>ROUND(Source!AX206,O213)</f>
        <v>0</v>
      </c>
      <c r="G213" s="4" t="s">
        <v>105</v>
      </c>
      <c r="H213" s="4" t="s">
        <v>106</v>
      </c>
      <c r="I213" s="4"/>
      <c r="J213" s="4"/>
      <c r="K213" s="4">
        <v>227</v>
      </c>
      <c r="L213" s="4">
        <v>6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>
        <v>0</v>
      </c>
      <c r="X213" s="4">
        <v>1</v>
      </c>
      <c r="Y213" s="4">
        <v>0</v>
      </c>
      <c r="Z213" s="4"/>
      <c r="AA213" s="4"/>
      <c r="AB213" s="4"/>
    </row>
    <row r="214" spans="1:28" ht="12.75">
      <c r="A214" s="4">
        <v>50</v>
      </c>
      <c r="B214" s="4">
        <v>0</v>
      </c>
      <c r="C214" s="4">
        <v>0</v>
      </c>
      <c r="D214" s="4">
        <v>1</v>
      </c>
      <c r="E214" s="4">
        <v>228</v>
      </c>
      <c r="F214" s="4">
        <f>ROUND(Source!AY206,O214)</f>
        <v>3314.39</v>
      </c>
      <c r="G214" s="4" t="s">
        <v>107</v>
      </c>
      <c r="H214" s="4" t="s">
        <v>108</v>
      </c>
      <c r="I214" s="4"/>
      <c r="J214" s="4"/>
      <c r="K214" s="4">
        <v>228</v>
      </c>
      <c r="L214" s="4">
        <v>7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>
        <v>3314.39</v>
      </c>
      <c r="X214" s="4">
        <v>1</v>
      </c>
      <c r="Y214" s="4">
        <v>17069.11</v>
      </c>
      <c r="Z214" s="4"/>
      <c r="AA214" s="4"/>
      <c r="AB214" s="4"/>
    </row>
    <row r="215" spans="1:28" ht="12.75">
      <c r="A215" s="4">
        <v>50</v>
      </c>
      <c r="B215" s="4">
        <v>0</v>
      </c>
      <c r="C215" s="4">
        <v>0</v>
      </c>
      <c r="D215" s="4">
        <v>1</v>
      </c>
      <c r="E215" s="4">
        <v>216</v>
      </c>
      <c r="F215" s="4">
        <f>ROUND(Source!AP206,O215)</f>
        <v>0</v>
      </c>
      <c r="G215" s="4" t="s">
        <v>109</v>
      </c>
      <c r="H215" s="4" t="s">
        <v>110</v>
      </c>
      <c r="I215" s="4"/>
      <c r="J215" s="4"/>
      <c r="K215" s="4">
        <v>216</v>
      </c>
      <c r="L215" s="4">
        <v>8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>
        <v>0</v>
      </c>
      <c r="X215" s="4">
        <v>1</v>
      </c>
      <c r="Y215" s="4">
        <v>0</v>
      </c>
      <c r="Z215" s="4"/>
      <c r="AA215" s="4"/>
      <c r="AB215" s="4"/>
    </row>
    <row r="216" spans="1:28" ht="12.75">
      <c r="A216" s="4">
        <v>50</v>
      </c>
      <c r="B216" s="4">
        <v>0</v>
      </c>
      <c r="C216" s="4">
        <v>0</v>
      </c>
      <c r="D216" s="4">
        <v>1</v>
      </c>
      <c r="E216" s="4">
        <v>223</v>
      </c>
      <c r="F216" s="4">
        <f>ROUND(Source!AQ206,O216)</f>
        <v>0</v>
      </c>
      <c r="G216" s="4" t="s">
        <v>111</v>
      </c>
      <c r="H216" s="4" t="s">
        <v>112</v>
      </c>
      <c r="I216" s="4"/>
      <c r="J216" s="4"/>
      <c r="K216" s="4">
        <v>223</v>
      </c>
      <c r="L216" s="4">
        <v>9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>
        <v>0</v>
      </c>
      <c r="X216" s="4">
        <v>1</v>
      </c>
      <c r="Y216" s="4">
        <v>0</v>
      </c>
      <c r="Z216" s="4"/>
      <c r="AA216" s="4"/>
      <c r="AB216" s="4"/>
    </row>
    <row r="217" spans="1:28" ht="12.75">
      <c r="A217" s="4">
        <v>50</v>
      </c>
      <c r="B217" s="4">
        <v>0</v>
      </c>
      <c r="C217" s="4">
        <v>0</v>
      </c>
      <c r="D217" s="4">
        <v>1</v>
      </c>
      <c r="E217" s="4">
        <v>229</v>
      </c>
      <c r="F217" s="4">
        <f>ROUND(Source!AZ206,O217)</f>
        <v>0</v>
      </c>
      <c r="G217" s="4" t="s">
        <v>113</v>
      </c>
      <c r="H217" s="4" t="s">
        <v>114</v>
      </c>
      <c r="I217" s="4"/>
      <c r="J217" s="4"/>
      <c r="K217" s="4">
        <v>229</v>
      </c>
      <c r="L217" s="4">
        <v>10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>
        <v>0</v>
      </c>
      <c r="X217" s="4">
        <v>1</v>
      </c>
      <c r="Y217" s="4">
        <v>0</v>
      </c>
      <c r="Z217" s="4"/>
      <c r="AA217" s="4"/>
      <c r="AB217" s="4"/>
    </row>
    <row r="218" spans="1:28" ht="12.75">
      <c r="A218" s="4">
        <v>50</v>
      </c>
      <c r="B218" s="4">
        <v>0</v>
      </c>
      <c r="C218" s="4">
        <v>0</v>
      </c>
      <c r="D218" s="4">
        <v>1</v>
      </c>
      <c r="E218" s="4">
        <v>203</v>
      </c>
      <c r="F218" s="4">
        <f>ROUND(Source!Q206,O218)</f>
        <v>268.43</v>
      </c>
      <c r="G218" s="4" t="s">
        <v>115</v>
      </c>
      <c r="H218" s="4" t="s">
        <v>116</v>
      </c>
      <c r="I218" s="4"/>
      <c r="J218" s="4"/>
      <c r="K218" s="4">
        <v>203</v>
      </c>
      <c r="L218" s="4">
        <v>11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>
        <v>172.45000000000002</v>
      </c>
      <c r="X218" s="4">
        <v>1</v>
      </c>
      <c r="Y218" s="4">
        <v>1331.31</v>
      </c>
      <c r="Z218" s="4"/>
      <c r="AA218" s="4"/>
      <c r="AB218" s="4"/>
    </row>
    <row r="219" spans="1:28" ht="12.75">
      <c r="A219" s="4">
        <v>50</v>
      </c>
      <c r="B219" s="4">
        <v>0</v>
      </c>
      <c r="C219" s="4">
        <v>0</v>
      </c>
      <c r="D219" s="4">
        <v>1</v>
      </c>
      <c r="E219" s="4">
        <v>231</v>
      </c>
      <c r="F219" s="4">
        <f>ROUND(Source!BB206,O219)</f>
        <v>0</v>
      </c>
      <c r="G219" s="4" t="s">
        <v>117</v>
      </c>
      <c r="H219" s="4" t="s">
        <v>118</v>
      </c>
      <c r="I219" s="4"/>
      <c r="J219" s="4"/>
      <c r="K219" s="4">
        <v>231</v>
      </c>
      <c r="L219" s="4">
        <v>12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>
        <v>0</v>
      </c>
      <c r="X219" s="4">
        <v>1</v>
      </c>
      <c r="Y219" s="4">
        <v>0</v>
      </c>
      <c r="Z219" s="4"/>
      <c r="AA219" s="4"/>
      <c r="AB219" s="4"/>
    </row>
    <row r="220" spans="1:28" ht="12.75">
      <c r="A220" s="4">
        <v>50</v>
      </c>
      <c r="B220" s="4">
        <v>0</v>
      </c>
      <c r="C220" s="4">
        <v>0</v>
      </c>
      <c r="D220" s="4">
        <v>1</v>
      </c>
      <c r="E220" s="4">
        <v>204</v>
      </c>
      <c r="F220" s="4">
        <f>ROUND(Source!R206,O220)</f>
        <v>12.81</v>
      </c>
      <c r="G220" s="4" t="s">
        <v>119</v>
      </c>
      <c r="H220" s="4" t="s">
        <v>120</v>
      </c>
      <c r="I220" s="4"/>
      <c r="J220" s="4"/>
      <c r="K220" s="4">
        <v>204</v>
      </c>
      <c r="L220" s="4">
        <v>13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>
        <v>12.81</v>
      </c>
      <c r="X220" s="4">
        <v>1</v>
      </c>
      <c r="Y220" s="4">
        <v>370.6</v>
      </c>
      <c r="Z220" s="4"/>
      <c r="AA220" s="4"/>
      <c r="AB220" s="4"/>
    </row>
    <row r="221" spans="1:28" ht="12.75">
      <c r="A221" s="4">
        <v>50</v>
      </c>
      <c r="B221" s="4">
        <v>0</v>
      </c>
      <c r="C221" s="4">
        <v>0</v>
      </c>
      <c r="D221" s="4">
        <v>1</v>
      </c>
      <c r="E221" s="4">
        <v>205</v>
      </c>
      <c r="F221" s="4">
        <f>ROUND(Source!S206,O221)</f>
        <v>15.12</v>
      </c>
      <c r="G221" s="4" t="s">
        <v>121</v>
      </c>
      <c r="H221" s="4" t="s">
        <v>122</v>
      </c>
      <c r="I221" s="4"/>
      <c r="J221" s="4"/>
      <c r="K221" s="4">
        <v>205</v>
      </c>
      <c r="L221" s="4">
        <v>14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>
        <v>15.119999999999997</v>
      </c>
      <c r="X221" s="4">
        <v>1</v>
      </c>
      <c r="Y221" s="4">
        <v>437.42</v>
      </c>
      <c r="Z221" s="4"/>
      <c r="AA221" s="4"/>
      <c r="AB221" s="4"/>
    </row>
    <row r="222" spans="1:28" ht="12.75">
      <c r="A222" s="4">
        <v>50</v>
      </c>
      <c r="B222" s="4">
        <v>0</v>
      </c>
      <c r="C222" s="4">
        <v>0</v>
      </c>
      <c r="D222" s="4">
        <v>1</v>
      </c>
      <c r="E222" s="4">
        <v>232</v>
      </c>
      <c r="F222" s="4">
        <f>ROUND(Source!BC206,O222)</f>
        <v>0</v>
      </c>
      <c r="G222" s="4" t="s">
        <v>123</v>
      </c>
      <c r="H222" s="4" t="s">
        <v>124</v>
      </c>
      <c r="I222" s="4"/>
      <c r="J222" s="4"/>
      <c r="K222" s="4">
        <v>232</v>
      </c>
      <c r="L222" s="4">
        <v>15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>
        <v>0</v>
      </c>
      <c r="X222" s="4">
        <v>1</v>
      </c>
      <c r="Y222" s="4">
        <v>0</v>
      </c>
      <c r="Z222" s="4"/>
      <c r="AA222" s="4"/>
      <c r="AB222" s="4"/>
    </row>
    <row r="223" spans="1:28" ht="12.75">
      <c r="A223" s="4">
        <v>50</v>
      </c>
      <c r="B223" s="4">
        <v>0</v>
      </c>
      <c r="C223" s="4">
        <v>0</v>
      </c>
      <c r="D223" s="4">
        <v>1</v>
      </c>
      <c r="E223" s="4">
        <v>214</v>
      </c>
      <c r="F223" s="4">
        <f>ROUND(Source!AS206,O223)</f>
        <v>399.6</v>
      </c>
      <c r="G223" s="4" t="s">
        <v>125</v>
      </c>
      <c r="H223" s="4" t="s">
        <v>126</v>
      </c>
      <c r="I223" s="4"/>
      <c r="J223" s="4"/>
      <c r="K223" s="4">
        <v>214</v>
      </c>
      <c r="L223" s="4">
        <v>16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>
        <v>399.6</v>
      </c>
      <c r="X223" s="4">
        <v>1</v>
      </c>
      <c r="Y223" s="4">
        <v>4847.92</v>
      </c>
      <c r="Z223" s="4"/>
      <c r="AA223" s="4"/>
      <c r="AB223" s="4"/>
    </row>
    <row r="224" spans="1:28" ht="12.75">
      <c r="A224" s="4">
        <v>50</v>
      </c>
      <c r="B224" s="4">
        <v>0</v>
      </c>
      <c r="C224" s="4">
        <v>0</v>
      </c>
      <c r="D224" s="4">
        <v>1</v>
      </c>
      <c r="E224" s="4">
        <v>215</v>
      </c>
      <c r="F224" s="4">
        <f>ROUND(Source!AT206,O224)</f>
        <v>3271.54</v>
      </c>
      <c r="G224" s="4" t="s">
        <v>127</v>
      </c>
      <c r="H224" s="4" t="s">
        <v>128</v>
      </c>
      <c r="I224" s="4"/>
      <c r="J224" s="4"/>
      <c r="K224" s="4">
        <v>215</v>
      </c>
      <c r="L224" s="4">
        <v>17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>
        <v>3271.54</v>
      </c>
      <c r="X224" s="4">
        <v>1</v>
      </c>
      <c r="Y224" s="4">
        <v>16848.43</v>
      </c>
      <c r="Z224" s="4"/>
      <c r="AA224" s="4"/>
      <c r="AB224" s="4"/>
    </row>
    <row r="225" spans="1:28" ht="12.75">
      <c r="A225" s="4">
        <v>50</v>
      </c>
      <c r="B225" s="4">
        <v>0</v>
      </c>
      <c r="C225" s="4">
        <v>0</v>
      </c>
      <c r="D225" s="4">
        <v>1</v>
      </c>
      <c r="E225" s="4">
        <v>217</v>
      </c>
      <c r="F225" s="4">
        <f>ROUND(Source!AU206,O225)</f>
        <v>0</v>
      </c>
      <c r="G225" s="4" t="s">
        <v>129</v>
      </c>
      <c r="H225" s="4" t="s">
        <v>130</v>
      </c>
      <c r="I225" s="4"/>
      <c r="J225" s="4"/>
      <c r="K225" s="4">
        <v>217</v>
      </c>
      <c r="L225" s="4">
        <v>18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>
        <v>0</v>
      </c>
      <c r="X225" s="4">
        <v>1</v>
      </c>
      <c r="Y225" s="4">
        <v>0</v>
      </c>
      <c r="Z225" s="4"/>
      <c r="AA225" s="4"/>
      <c r="AB225" s="4"/>
    </row>
    <row r="226" spans="1:28" ht="12.75">
      <c r="A226" s="4">
        <v>50</v>
      </c>
      <c r="B226" s="4">
        <v>0</v>
      </c>
      <c r="C226" s="4">
        <v>0</v>
      </c>
      <c r="D226" s="4">
        <v>1</v>
      </c>
      <c r="E226" s="4">
        <v>230</v>
      </c>
      <c r="F226" s="4">
        <f>ROUND(Source!BA206,O226)</f>
        <v>0</v>
      </c>
      <c r="G226" s="4" t="s">
        <v>131</v>
      </c>
      <c r="H226" s="4" t="s">
        <v>132</v>
      </c>
      <c r="I226" s="4"/>
      <c r="J226" s="4"/>
      <c r="K226" s="4">
        <v>230</v>
      </c>
      <c r="L226" s="4">
        <v>19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>
        <v>0</v>
      </c>
      <c r="X226" s="4">
        <v>1</v>
      </c>
      <c r="Y226" s="4">
        <v>0</v>
      </c>
      <c r="Z226" s="4"/>
      <c r="AA226" s="4"/>
      <c r="AB226" s="4"/>
    </row>
    <row r="227" spans="1:28" ht="12.75">
      <c r="A227" s="4">
        <v>50</v>
      </c>
      <c r="B227" s="4">
        <v>0</v>
      </c>
      <c r="C227" s="4">
        <v>0</v>
      </c>
      <c r="D227" s="4">
        <v>1</v>
      </c>
      <c r="E227" s="4">
        <v>206</v>
      </c>
      <c r="F227" s="4">
        <f>ROUND(Source!T206,O227)</f>
        <v>0</v>
      </c>
      <c r="G227" s="4" t="s">
        <v>133</v>
      </c>
      <c r="H227" s="4" t="s">
        <v>134</v>
      </c>
      <c r="I227" s="4"/>
      <c r="J227" s="4"/>
      <c r="K227" s="4">
        <v>206</v>
      </c>
      <c r="L227" s="4">
        <v>20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>
        <v>0</v>
      </c>
      <c r="X227" s="4">
        <v>1</v>
      </c>
      <c r="Y227" s="4">
        <v>0</v>
      </c>
      <c r="Z227" s="4"/>
      <c r="AA227" s="4"/>
      <c r="AB227" s="4"/>
    </row>
    <row r="228" spans="1:28" ht="12.75">
      <c r="A228" s="4">
        <v>50</v>
      </c>
      <c r="B228" s="4">
        <v>0</v>
      </c>
      <c r="C228" s="4">
        <v>0</v>
      </c>
      <c r="D228" s="4">
        <v>1</v>
      </c>
      <c r="E228" s="4">
        <v>207</v>
      </c>
      <c r="F228" s="4">
        <f>Source!U206</f>
        <v>2.85434886</v>
      </c>
      <c r="G228" s="4" t="s">
        <v>135</v>
      </c>
      <c r="H228" s="4" t="s">
        <v>136</v>
      </c>
      <c r="I228" s="4"/>
      <c r="J228" s="4"/>
      <c r="K228" s="4">
        <v>207</v>
      </c>
      <c r="L228" s="4">
        <v>21</v>
      </c>
      <c r="M228" s="4">
        <v>3</v>
      </c>
      <c r="N228" s="4" t="s">
        <v>3</v>
      </c>
      <c r="O228" s="4">
        <v>-1</v>
      </c>
      <c r="P228" s="4"/>
      <c r="Q228" s="4"/>
      <c r="R228" s="4"/>
      <c r="S228" s="4"/>
      <c r="T228" s="4"/>
      <c r="U228" s="4"/>
      <c r="V228" s="4"/>
      <c r="W228" s="4">
        <v>2.8543489</v>
      </c>
      <c r="X228" s="4">
        <v>1</v>
      </c>
      <c r="Y228" s="4">
        <v>2.8543489</v>
      </c>
      <c r="Z228" s="4"/>
      <c r="AA228" s="4"/>
      <c r="AB228" s="4"/>
    </row>
    <row r="229" spans="1:28" ht="12.75">
      <c r="A229" s="4">
        <v>50</v>
      </c>
      <c r="B229" s="4">
        <v>0</v>
      </c>
      <c r="C229" s="4">
        <v>0</v>
      </c>
      <c r="D229" s="4">
        <v>1</v>
      </c>
      <c r="E229" s="4">
        <v>208</v>
      </c>
      <c r="F229" s="4">
        <f>Source!V206</f>
        <v>1.57793736</v>
      </c>
      <c r="G229" s="4" t="s">
        <v>137</v>
      </c>
      <c r="H229" s="4" t="s">
        <v>138</v>
      </c>
      <c r="I229" s="4"/>
      <c r="J229" s="4"/>
      <c r="K229" s="4">
        <v>208</v>
      </c>
      <c r="L229" s="4">
        <v>22</v>
      </c>
      <c r="M229" s="4">
        <v>3</v>
      </c>
      <c r="N229" s="4" t="s">
        <v>3</v>
      </c>
      <c r="O229" s="4">
        <v>-1</v>
      </c>
      <c r="P229" s="4"/>
      <c r="Q229" s="4"/>
      <c r="R229" s="4"/>
      <c r="S229" s="4"/>
      <c r="T229" s="4"/>
      <c r="U229" s="4"/>
      <c r="V229" s="4"/>
      <c r="W229" s="4">
        <v>1.5779374</v>
      </c>
      <c r="X229" s="4">
        <v>1</v>
      </c>
      <c r="Y229" s="4">
        <v>1.5779374</v>
      </c>
      <c r="Z229" s="4"/>
      <c r="AA229" s="4"/>
      <c r="AB229" s="4"/>
    </row>
    <row r="230" spans="1:28" ht="12.75">
      <c r="A230" s="4">
        <v>50</v>
      </c>
      <c r="B230" s="4">
        <v>0</v>
      </c>
      <c r="C230" s="4">
        <v>0</v>
      </c>
      <c r="D230" s="4">
        <v>1</v>
      </c>
      <c r="E230" s="4">
        <v>209</v>
      </c>
      <c r="F230" s="4">
        <f>ROUND(Source!W206,O230)</f>
        <v>0</v>
      </c>
      <c r="G230" s="4" t="s">
        <v>139</v>
      </c>
      <c r="H230" s="4" t="s">
        <v>140</v>
      </c>
      <c r="I230" s="4"/>
      <c r="J230" s="4"/>
      <c r="K230" s="4">
        <v>209</v>
      </c>
      <c r="L230" s="4">
        <v>23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>
        <v>0</v>
      </c>
      <c r="X230" s="4">
        <v>1</v>
      </c>
      <c r="Y230" s="4">
        <v>0</v>
      </c>
      <c r="Z230" s="4"/>
      <c r="AA230" s="4"/>
      <c r="AB230" s="4"/>
    </row>
    <row r="231" spans="1:28" ht="12.75">
      <c r="A231" s="4">
        <v>50</v>
      </c>
      <c r="B231" s="4">
        <v>0</v>
      </c>
      <c r="C231" s="4">
        <v>0</v>
      </c>
      <c r="D231" s="4">
        <v>1</v>
      </c>
      <c r="E231" s="4">
        <v>233</v>
      </c>
      <c r="F231" s="4">
        <f>ROUND(Source!BD206,O231)</f>
        <v>95.98</v>
      </c>
      <c r="G231" s="4" t="s">
        <v>141</v>
      </c>
      <c r="H231" s="4" t="s">
        <v>142</v>
      </c>
      <c r="I231" s="4"/>
      <c r="J231" s="4"/>
      <c r="K231" s="4">
        <v>233</v>
      </c>
      <c r="L231" s="4">
        <v>24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>
        <v>95.98</v>
      </c>
      <c r="X231" s="4">
        <v>1</v>
      </c>
      <c r="Y231" s="4">
        <v>740.97</v>
      </c>
      <c r="Z231" s="4"/>
      <c r="AA231" s="4"/>
      <c r="AB231" s="4"/>
    </row>
    <row r="232" spans="1:28" ht="12.75">
      <c r="A232" s="4">
        <v>50</v>
      </c>
      <c r="B232" s="4">
        <v>0</v>
      </c>
      <c r="C232" s="4">
        <v>0</v>
      </c>
      <c r="D232" s="4">
        <v>1</v>
      </c>
      <c r="E232" s="4">
        <v>0</v>
      </c>
      <c r="F232" s="4">
        <f>ROUND(Source!X206,O232)</f>
        <v>41.06</v>
      </c>
      <c r="G232" s="4" t="s">
        <v>143</v>
      </c>
      <c r="H232" s="4" t="s">
        <v>144</v>
      </c>
      <c r="I232" s="4"/>
      <c r="J232" s="4"/>
      <c r="K232" s="4">
        <v>210</v>
      </c>
      <c r="L232" s="4">
        <v>25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>
        <v>41.06</v>
      </c>
      <c r="X232" s="4">
        <v>1</v>
      </c>
      <c r="Y232" s="4">
        <v>1187.7800000000002</v>
      </c>
      <c r="Z232" s="4"/>
      <c r="AA232" s="4"/>
      <c r="AB232" s="4"/>
    </row>
    <row r="233" spans="1:28" ht="12.75">
      <c r="A233" s="4">
        <v>50</v>
      </c>
      <c r="B233" s="4">
        <v>0</v>
      </c>
      <c r="C233" s="4">
        <v>0</v>
      </c>
      <c r="D233" s="4">
        <v>1</v>
      </c>
      <c r="E233" s="4">
        <v>0</v>
      </c>
      <c r="F233" s="4">
        <f>ROUND(Source!Y206,O233)</f>
        <v>32.14</v>
      </c>
      <c r="G233" s="4" t="s">
        <v>145</v>
      </c>
      <c r="H233" s="4" t="s">
        <v>146</v>
      </c>
      <c r="I233" s="4"/>
      <c r="J233" s="4"/>
      <c r="K233" s="4">
        <v>211</v>
      </c>
      <c r="L233" s="4">
        <v>26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>
        <v>32.14</v>
      </c>
      <c r="X233" s="4">
        <v>1</v>
      </c>
      <c r="Y233" s="4">
        <v>929.76</v>
      </c>
      <c r="Z233" s="4"/>
      <c r="AA233" s="4"/>
      <c r="AB233" s="4"/>
    </row>
    <row r="234" spans="1:28" ht="12.75">
      <c r="A234" s="4">
        <v>50</v>
      </c>
      <c r="B234" s="4">
        <v>0</v>
      </c>
      <c r="C234" s="4">
        <v>0</v>
      </c>
      <c r="D234" s="4">
        <v>1</v>
      </c>
      <c r="E234" s="4">
        <v>224</v>
      </c>
      <c r="F234" s="4">
        <f>ROUND(Source!AR206,O234)</f>
        <v>3671.14</v>
      </c>
      <c r="G234" s="4" t="s">
        <v>147</v>
      </c>
      <c r="H234" s="4" t="s">
        <v>148</v>
      </c>
      <c r="I234" s="4"/>
      <c r="J234" s="4"/>
      <c r="K234" s="4">
        <v>224</v>
      </c>
      <c r="L234" s="4">
        <v>27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>
        <v>3671.14</v>
      </c>
      <c r="X234" s="4">
        <v>1</v>
      </c>
      <c r="Y234" s="4">
        <v>21696.35</v>
      </c>
      <c r="Z234" s="4"/>
      <c r="AA234" s="4"/>
      <c r="AB234" s="4"/>
    </row>
    <row r="235" spans="1:28" ht="12.75">
      <c r="A235" s="4">
        <v>50</v>
      </c>
      <c r="B235" s="4">
        <v>1</v>
      </c>
      <c r="C235" s="4">
        <v>0</v>
      </c>
      <c r="D235" s="4">
        <v>2</v>
      </c>
      <c r="E235" s="4">
        <v>201</v>
      </c>
      <c r="F235" s="4">
        <f>ROUND(ROUND(F208,0),O235)</f>
        <v>3598</v>
      </c>
      <c r="G235" s="4" t="s">
        <v>149</v>
      </c>
      <c r="H235" s="4" t="s">
        <v>150</v>
      </c>
      <c r="I235" s="4"/>
      <c r="J235" s="4"/>
      <c r="K235" s="4">
        <v>212</v>
      </c>
      <c r="L235" s="4">
        <v>28</v>
      </c>
      <c r="M235" s="4">
        <v>0</v>
      </c>
      <c r="N235" s="4" t="s">
        <v>3</v>
      </c>
      <c r="O235" s="4">
        <v>0</v>
      </c>
      <c r="P235" s="4"/>
      <c r="Q235" s="4"/>
      <c r="R235" s="4"/>
      <c r="S235" s="4"/>
      <c r="T235" s="4"/>
      <c r="U235" s="4"/>
      <c r="V235" s="4"/>
      <c r="W235" s="4">
        <v>3598</v>
      </c>
      <c r="X235" s="4">
        <v>1</v>
      </c>
      <c r="Y235" s="4">
        <v>19579</v>
      </c>
      <c r="Z235" s="4"/>
      <c r="AA235" s="4"/>
      <c r="AB235" s="4"/>
    </row>
    <row r="236" spans="1:28" ht="12.75">
      <c r="A236" s="4">
        <v>50</v>
      </c>
      <c r="B236" s="4">
        <v>1</v>
      </c>
      <c r="C236" s="4">
        <v>0</v>
      </c>
      <c r="D236" s="4">
        <v>2</v>
      </c>
      <c r="E236" s="4">
        <v>210</v>
      </c>
      <c r="F236" s="4">
        <f>ROUND(ROUND(F232,0),O236)</f>
        <v>41</v>
      </c>
      <c r="G236" s="4" t="s">
        <v>151</v>
      </c>
      <c r="H236" s="4" t="s">
        <v>144</v>
      </c>
      <c r="I236" s="4"/>
      <c r="J236" s="4"/>
      <c r="K236" s="4">
        <v>212</v>
      </c>
      <c r="L236" s="4">
        <v>29</v>
      </c>
      <c r="M236" s="4">
        <v>0</v>
      </c>
      <c r="N236" s="4" t="s">
        <v>3</v>
      </c>
      <c r="O236" s="4">
        <v>0</v>
      </c>
      <c r="P236" s="4"/>
      <c r="Q236" s="4"/>
      <c r="R236" s="4"/>
      <c r="S236" s="4"/>
      <c r="T236" s="4"/>
      <c r="U236" s="4"/>
      <c r="V236" s="4"/>
      <c r="W236" s="4">
        <v>41</v>
      </c>
      <c r="X236" s="4">
        <v>1</v>
      </c>
      <c r="Y236" s="4">
        <v>1188</v>
      </c>
      <c r="Z236" s="4"/>
      <c r="AA236" s="4"/>
      <c r="AB236" s="4"/>
    </row>
    <row r="237" spans="1:28" ht="12.75">
      <c r="A237" s="4">
        <v>50</v>
      </c>
      <c r="B237" s="4">
        <v>1</v>
      </c>
      <c r="C237" s="4">
        <v>0</v>
      </c>
      <c r="D237" s="4">
        <v>2</v>
      </c>
      <c r="E237" s="4">
        <v>211</v>
      </c>
      <c r="F237" s="4">
        <f>ROUND(ROUND(F233,0),O237)</f>
        <v>32</v>
      </c>
      <c r="G237" s="4" t="s">
        <v>152</v>
      </c>
      <c r="H237" s="4" t="s">
        <v>146</v>
      </c>
      <c r="I237" s="4"/>
      <c r="J237" s="4"/>
      <c r="K237" s="4">
        <v>212</v>
      </c>
      <c r="L237" s="4">
        <v>30</v>
      </c>
      <c r="M237" s="4">
        <v>0</v>
      </c>
      <c r="N237" s="4" t="s">
        <v>3</v>
      </c>
      <c r="O237" s="4">
        <v>0</v>
      </c>
      <c r="P237" s="4"/>
      <c r="Q237" s="4"/>
      <c r="R237" s="4"/>
      <c r="S237" s="4"/>
      <c r="T237" s="4"/>
      <c r="U237" s="4"/>
      <c r="V237" s="4"/>
      <c r="W237" s="4">
        <v>32</v>
      </c>
      <c r="X237" s="4">
        <v>1</v>
      </c>
      <c r="Y237" s="4">
        <v>930</v>
      </c>
      <c r="Z237" s="4"/>
      <c r="AA237" s="4"/>
      <c r="AB237" s="4"/>
    </row>
    <row r="238" spans="1:28" ht="12.75">
      <c r="A238" s="4">
        <v>50</v>
      </c>
      <c r="B238" s="4">
        <v>1</v>
      </c>
      <c r="C238" s="4">
        <v>0</v>
      </c>
      <c r="D238" s="4">
        <v>2</v>
      </c>
      <c r="E238" s="4">
        <v>213</v>
      </c>
      <c r="F238" s="4">
        <f>ROUND(F235+F236+F237,O238)</f>
        <v>3671</v>
      </c>
      <c r="G238" s="4" t="s">
        <v>153</v>
      </c>
      <c r="H238" s="4" t="s">
        <v>154</v>
      </c>
      <c r="I238" s="4"/>
      <c r="J238" s="4"/>
      <c r="K238" s="4">
        <v>212</v>
      </c>
      <c r="L238" s="4">
        <v>31</v>
      </c>
      <c r="M238" s="4">
        <v>0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>
        <v>3671</v>
      </c>
      <c r="X238" s="4">
        <v>1</v>
      </c>
      <c r="Y238" s="4">
        <v>21697</v>
      </c>
      <c r="Z238" s="4"/>
      <c r="AA238" s="4"/>
      <c r="AB238" s="4"/>
    </row>
    <row r="239" spans="1:28" ht="12.75">
      <c r="A239" s="4">
        <v>50</v>
      </c>
      <c r="B239" s="4">
        <v>1</v>
      </c>
      <c r="C239" s="4">
        <v>0</v>
      </c>
      <c r="D239" s="4">
        <v>2</v>
      </c>
      <c r="E239" s="4">
        <v>0</v>
      </c>
      <c r="F239" s="4">
        <v>399.6</v>
      </c>
      <c r="G239" s="4" t="s">
        <v>155</v>
      </c>
      <c r="H239" s="4" t="s">
        <v>156</v>
      </c>
      <c r="I239" s="4"/>
      <c r="J239" s="4"/>
      <c r="K239" s="4">
        <v>212</v>
      </c>
      <c r="L239" s="4">
        <v>32</v>
      </c>
      <c r="M239" s="4">
        <v>1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>
        <v>399.6</v>
      </c>
      <c r="X239" s="4">
        <v>1</v>
      </c>
      <c r="Y239" s="4">
        <v>399.6</v>
      </c>
      <c r="Z239" s="4"/>
      <c r="AA239" s="4"/>
      <c r="AB239" s="4"/>
    </row>
    <row r="240" spans="1:28" ht="12.75">
      <c r="A240" s="4">
        <v>50</v>
      </c>
      <c r="B240" s="4">
        <v>1</v>
      </c>
      <c r="C240" s="4">
        <v>0</v>
      </c>
      <c r="D240" s="4">
        <v>2</v>
      </c>
      <c r="E240" s="4">
        <v>0</v>
      </c>
      <c r="F240" s="4">
        <v>3271.54</v>
      </c>
      <c r="G240" s="4" t="s">
        <v>157</v>
      </c>
      <c r="H240" s="4" t="s">
        <v>158</v>
      </c>
      <c r="I240" s="4"/>
      <c r="J240" s="4"/>
      <c r="K240" s="4">
        <v>212</v>
      </c>
      <c r="L240" s="4">
        <v>33</v>
      </c>
      <c r="M240" s="4">
        <v>1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>
        <v>3271.54</v>
      </c>
      <c r="X240" s="4">
        <v>1</v>
      </c>
      <c r="Y240" s="4">
        <v>3271.54</v>
      </c>
      <c r="Z240" s="4"/>
      <c r="AA240" s="4"/>
      <c r="AB240" s="4"/>
    </row>
    <row r="241" spans="1:28" ht="12.75">
      <c r="A241" s="4">
        <v>50</v>
      </c>
      <c r="B241" s="4">
        <v>0</v>
      </c>
      <c r="C241" s="4">
        <v>0</v>
      </c>
      <c r="D241" s="4">
        <v>2</v>
      </c>
      <c r="E241" s="4">
        <v>0</v>
      </c>
      <c r="F241" s="4">
        <v>0</v>
      </c>
      <c r="G241" s="4" t="s">
        <v>159</v>
      </c>
      <c r="H241" s="4" t="s">
        <v>160</v>
      </c>
      <c r="I241" s="4"/>
      <c r="J241" s="4"/>
      <c r="K241" s="4">
        <v>212</v>
      </c>
      <c r="L241" s="4">
        <v>34</v>
      </c>
      <c r="M241" s="4">
        <v>1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>
        <v>0</v>
      </c>
      <c r="X241" s="4">
        <v>1</v>
      </c>
      <c r="Y241" s="4">
        <v>0</v>
      </c>
      <c r="Z241" s="4"/>
      <c r="AA241" s="4"/>
      <c r="AB241" s="4"/>
    </row>
    <row r="242" spans="1:28" ht="12.75">
      <c r="A242" s="4">
        <v>50</v>
      </c>
      <c r="B242" s="4">
        <v>0</v>
      </c>
      <c r="C242" s="4">
        <v>0</v>
      </c>
      <c r="D242" s="4">
        <v>2</v>
      </c>
      <c r="E242" s="4">
        <v>0</v>
      </c>
      <c r="F242" s="4">
        <v>0</v>
      </c>
      <c r="G242" s="4" t="s">
        <v>161</v>
      </c>
      <c r="H242" s="4" t="s">
        <v>162</v>
      </c>
      <c r="I242" s="4"/>
      <c r="J242" s="4"/>
      <c r="K242" s="4">
        <v>212</v>
      </c>
      <c r="L242" s="4">
        <v>35</v>
      </c>
      <c r="M242" s="4">
        <v>1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>
        <v>0</v>
      </c>
      <c r="X242" s="4">
        <v>1</v>
      </c>
      <c r="Y242" s="4">
        <v>0</v>
      </c>
      <c r="Z242" s="4"/>
      <c r="AA242" s="4"/>
      <c r="AB242" s="4"/>
    </row>
    <row r="243" spans="1:28" ht="12.75">
      <c r="A243" s="4">
        <v>50</v>
      </c>
      <c r="B243" s="4">
        <f>IF(Source!F243=0,1,0)</f>
        <v>1</v>
      </c>
      <c r="C243" s="4">
        <v>0</v>
      </c>
      <c r="D243" s="4">
        <v>2</v>
      </c>
      <c r="E243" s="4">
        <v>0</v>
      </c>
      <c r="F243" s="4">
        <f>ROUND(ROUND((F238-F239-F240-F241-F242),0),O243)</f>
        <v>0</v>
      </c>
      <c r="G243" s="4" t="s">
        <v>163</v>
      </c>
      <c r="H243" s="4" t="s">
        <v>164</v>
      </c>
      <c r="I243" s="4"/>
      <c r="J243" s="4"/>
      <c r="K243" s="4">
        <v>212</v>
      </c>
      <c r="L243" s="4">
        <v>36</v>
      </c>
      <c r="M243" s="4">
        <v>2</v>
      </c>
      <c r="N243" s="4" t="s">
        <v>3</v>
      </c>
      <c r="O243" s="4">
        <v>0</v>
      </c>
      <c r="P243" s="4"/>
      <c r="Q243" s="4"/>
      <c r="R243" s="4"/>
      <c r="S243" s="4"/>
      <c r="T243" s="4"/>
      <c r="U243" s="4"/>
      <c r="V243" s="4"/>
      <c r="W243" s="4">
        <v>0</v>
      </c>
      <c r="X243" s="4">
        <v>1</v>
      </c>
      <c r="Y243" s="4">
        <v>18026</v>
      </c>
      <c r="Z243" s="4"/>
      <c r="AA243" s="4"/>
      <c r="AB243" s="4"/>
    </row>
    <row r="245" spans="1:88" ht="12.75">
      <c r="A245" s="1">
        <v>4</v>
      </c>
      <c r="B245" s="1">
        <v>1</v>
      </c>
      <c r="C245" s="1"/>
      <c r="D245" s="1">
        <f>ROW(A257)</f>
        <v>257</v>
      </c>
      <c r="E245" s="1"/>
      <c r="F245" s="1" t="s">
        <v>15</v>
      </c>
      <c r="G245" s="1" t="s">
        <v>335</v>
      </c>
      <c r="H245" s="1" t="s">
        <v>3</v>
      </c>
      <c r="I245" s="1">
        <v>0</v>
      </c>
      <c r="J245" s="1"/>
      <c r="K245" s="1">
        <v>0</v>
      </c>
      <c r="L245" s="1"/>
      <c r="M245" s="1" t="s">
        <v>3</v>
      </c>
      <c r="N245" s="1"/>
      <c r="O245" s="1"/>
      <c r="P245" s="1"/>
      <c r="Q245" s="1"/>
      <c r="R245" s="1"/>
      <c r="S245" s="1">
        <v>44571021</v>
      </c>
      <c r="T245" s="1"/>
      <c r="U245" s="1" t="s">
        <v>3</v>
      </c>
      <c r="V245" s="1">
        <v>0</v>
      </c>
      <c r="W245" s="1"/>
      <c r="X245" s="1"/>
      <c r="Y245" s="1"/>
      <c r="Z245" s="1"/>
      <c r="AA245" s="1"/>
      <c r="AB245" s="1" t="s">
        <v>3</v>
      </c>
      <c r="AC245" s="1" t="s">
        <v>3</v>
      </c>
      <c r="AD245" s="1" t="s">
        <v>3</v>
      </c>
      <c r="AE245" s="1" t="s">
        <v>3</v>
      </c>
      <c r="AF245" s="1" t="s">
        <v>3</v>
      </c>
      <c r="AG245" s="1" t="s">
        <v>3</v>
      </c>
      <c r="AH245" s="1"/>
      <c r="AI245" s="1"/>
      <c r="AJ245" s="1"/>
      <c r="AK245" s="1"/>
      <c r="AL245" s="1"/>
      <c r="AM245" s="1"/>
      <c r="AN245" s="1"/>
      <c r="AO245" s="1"/>
      <c r="AP245" s="1" t="s">
        <v>3</v>
      </c>
      <c r="AQ245" s="1" t="s">
        <v>3</v>
      </c>
      <c r="AR245" s="1" t="s">
        <v>3</v>
      </c>
      <c r="AS245" s="1"/>
      <c r="AT245" s="1"/>
      <c r="AU245" s="1"/>
      <c r="AV245" s="1"/>
      <c r="AW245" s="1"/>
      <c r="AX245" s="1"/>
      <c r="AY245" s="1"/>
      <c r="AZ245" s="1" t="s">
        <v>3</v>
      </c>
      <c r="BA245" s="1"/>
      <c r="BB245" s="1" t="s">
        <v>3</v>
      </c>
      <c r="BC245" s="1" t="s">
        <v>3</v>
      </c>
      <c r="BD245" s="1" t="s">
        <v>3</v>
      </c>
      <c r="BE245" s="1" t="s">
        <v>3</v>
      </c>
      <c r="BF245" s="1" t="s">
        <v>3</v>
      </c>
      <c r="BG245" s="1" t="s">
        <v>3</v>
      </c>
      <c r="BH245" s="1" t="s">
        <v>3</v>
      </c>
      <c r="BI245" s="1" t="s">
        <v>3</v>
      </c>
      <c r="BJ245" s="1" t="s">
        <v>3</v>
      </c>
      <c r="BK245" s="1" t="s">
        <v>3</v>
      </c>
      <c r="BL245" s="1" t="s">
        <v>3</v>
      </c>
      <c r="BM245" s="1" t="s">
        <v>3</v>
      </c>
      <c r="BN245" s="1" t="s">
        <v>3</v>
      </c>
      <c r="BO245" s="1" t="s">
        <v>3</v>
      </c>
      <c r="BP245" s="1" t="s">
        <v>3</v>
      </c>
      <c r="BQ245" s="1"/>
      <c r="BR245" s="1"/>
      <c r="BS245" s="1"/>
      <c r="BT245" s="1"/>
      <c r="BU245" s="1"/>
      <c r="BV245" s="1"/>
      <c r="BW245" s="1"/>
      <c r="BX245" s="1">
        <v>0</v>
      </c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>
        <v>0</v>
      </c>
    </row>
    <row r="247" spans="1:206" ht="12.75">
      <c r="A247" s="2">
        <v>52</v>
      </c>
      <c r="B247" s="2">
        <f aca="true" t="shared" si="175" ref="B247:G247">B257</f>
        <v>1</v>
      </c>
      <c r="C247" s="2">
        <f t="shared" si="175"/>
        <v>4</v>
      </c>
      <c r="D247" s="2">
        <f t="shared" si="175"/>
        <v>245</v>
      </c>
      <c r="E247" s="2">
        <f t="shared" si="175"/>
        <v>0</v>
      </c>
      <c r="F247" s="2" t="str">
        <f t="shared" si="175"/>
        <v>Новый раздел</v>
      </c>
      <c r="G247" s="2" t="str">
        <f t="shared" si="175"/>
        <v>Материалы</v>
      </c>
      <c r="H247" s="2"/>
      <c r="I247" s="2"/>
      <c r="J247" s="2"/>
      <c r="K247" s="2"/>
      <c r="L247" s="2"/>
      <c r="M247" s="2"/>
      <c r="N247" s="2"/>
      <c r="O247" s="2">
        <f aca="true" t="shared" si="176" ref="O247:AT247">O257</f>
        <v>35074.26</v>
      </c>
      <c r="P247" s="2">
        <f t="shared" si="176"/>
        <v>35074.26</v>
      </c>
      <c r="Q247" s="2">
        <f t="shared" si="176"/>
        <v>0</v>
      </c>
      <c r="R247" s="2">
        <f t="shared" si="176"/>
        <v>0</v>
      </c>
      <c r="S247" s="2">
        <f t="shared" si="176"/>
        <v>0</v>
      </c>
      <c r="T247" s="2">
        <f t="shared" si="176"/>
        <v>0</v>
      </c>
      <c r="U247" s="2">
        <f t="shared" si="176"/>
        <v>0</v>
      </c>
      <c r="V247" s="2">
        <f t="shared" si="176"/>
        <v>0</v>
      </c>
      <c r="W247" s="2">
        <f t="shared" si="176"/>
        <v>0</v>
      </c>
      <c r="X247" s="2">
        <f t="shared" si="176"/>
        <v>0</v>
      </c>
      <c r="Y247" s="2">
        <f t="shared" si="176"/>
        <v>0</v>
      </c>
      <c r="Z247" s="2">
        <f t="shared" si="176"/>
        <v>0</v>
      </c>
      <c r="AA247" s="2">
        <f t="shared" si="176"/>
        <v>0</v>
      </c>
      <c r="AB247" s="2">
        <f t="shared" si="176"/>
        <v>35074.26</v>
      </c>
      <c r="AC247" s="2">
        <f t="shared" si="176"/>
        <v>35074.26</v>
      </c>
      <c r="AD247" s="2">
        <f t="shared" si="176"/>
        <v>0</v>
      </c>
      <c r="AE247" s="2">
        <f t="shared" si="176"/>
        <v>0</v>
      </c>
      <c r="AF247" s="2">
        <f t="shared" si="176"/>
        <v>0</v>
      </c>
      <c r="AG247" s="2">
        <f t="shared" si="176"/>
        <v>0</v>
      </c>
      <c r="AH247" s="2">
        <f t="shared" si="176"/>
        <v>0</v>
      </c>
      <c r="AI247" s="2">
        <f t="shared" si="176"/>
        <v>0</v>
      </c>
      <c r="AJ247" s="2">
        <f t="shared" si="176"/>
        <v>0</v>
      </c>
      <c r="AK247" s="2">
        <f t="shared" si="176"/>
        <v>0</v>
      </c>
      <c r="AL247" s="2">
        <f t="shared" si="176"/>
        <v>0</v>
      </c>
      <c r="AM247" s="2">
        <f t="shared" si="176"/>
        <v>0</v>
      </c>
      <c r="AN247" s="2">
        <f t="shared" si="176"/>
        <v>0</v>
      </c>
      <c r="AO247" s="2">
        <f t="shared" si="176"/>
        <v>0</v>
      </c>
      <c r="AP247" s="2">
        <f t="shared" si="176"/>
        <v>0</v>
      </c>
      <c r="AQ247" s="2">
        <f t="shared" si="176"/>
        <v>0</v>
      </c>
      <c r="AR247" s="2">
        <f t="shared" si="176"/>
        <v>35074.26</v>
      </c>
      <c r="AS247" s="2">
        <f t="shared" si="176"/>
        <v>714.62</v>
      </c>
      <c r="AT247" s="2">
        <f t="shared" si="176"/>
        <v>34359.64</v>
      </c>
      <c r="AU247" s="2">
        <f aca="true" t="shared" si="177" ref="AU247:BZ247">AU257</f>
        <v>0</v>
      </c>
      <c r="AV247" s="2">
        <f t="shared" si="177"/>
        <v>35074.26</v>
      </c>
      <c r="AW247" s="2">
        <f t="shared" si="177"/>
        <v>35074.26</v>
      </c>
      <c r="AX247" s="2">
        <f t="shared" si="177"/>
        <v>0</v>
      </c>
      <c r="AY247" s="2">
        <f t="shared" si="177"/>
        <v>35074.26</v>
      </c>
      <c r="AZ247" s="2">
        <f t="shared" si="177"/>
        <v>0</v>
      </c>
      <c r="BA247" s="2">
        <f t="shared" si="177"/>
        <v>0</v>
      </c>
      <c r="BB247" s="2">
        <f t="shared" si="177"/>
        <v>0</v>
      </c>
      <c r="BC247" s="2">
        <f t="shared" si="177"/>
        <v>0</v>
      </c>
      <c r="BD247" s="2">
        <f t="shared" si="177"/>
        <v>0</v>
      </c>
      <c r="BE247" s="2">
        <f t="shared" si="177"/>
        <v>0</v>
      </c>
      <c r="BF247" s="2">
        <f t="shared" si="177"/>
        <v>0</v>
      </c>
      <c r="BG247" s="2">
        <f t="shared" si="177"/>
        <v>0</v>
      </c>
      <c r="BH247" s="2">
        <f t="shared" si="177"/>
        <v>0</v>
      </c>
      <c r="BI247" s="2">
        <f t="shared" si="177"/>
        <v>0</v>
      </c>
      <c r="BJ247" s="2">
        <f t="shared" si="177"/>
        <v>0</v>
      </c>
      <c r="BK247" s="2">
        <f t="shared" si="177"/>
        <v>0</v>
      </c>
      <c r="BL247" s="2">
        <f t="shared" si="177"/>
        <v>0</v>
      </c>
      <c r="BM247" s="2">
        <f t="shared" si="177"/>
        <v>0</v>
      </c>
      <c r="BN247" s="2">
        <f t="shared" si="177"/>
        <v>0</v>
      </c>
      <c r="BO247" s="2">
        <f t="shared" si="177"/>
        <v>0</v>
      </c>
      <c r="BP247" s="2">
        <f t="shared" si="177"/>
        <v>0</v>
      </c>
      <c r="BQ247" s="2">
        <f t="shared" si="177"/>
        <v>0</v>
      </c>
      <c r="BR247" s="2">
        <f t="shared" si="177"/>
        <v>0</v>
      </c>
      <c r="BS247" s="2">
        <f t="shared" si="177"/>
        <v>0</v>
      </c>
      <c r="BT247" s="2">
        <f t="shared" si="177"/>
        <v>0</v>
      </c>
      <c r="BU247" s="2">
        <f t="shared" si="177"/>
        <v>0</v>
      </c>
      <c r="BV247" s="2">
        <f t="shared" si="177"/>
        <v>0</v>
      </c>
      <c r="BW247" s="2">
        <f t="shared" si="177"/>
        <v>0</v>
      </c>
      <c r="BX247" s="2">
        <f t="shared" si="177"/>
        <v>0</v>
      </c>
      <c r="BY247" s="2">
        <f t="shared" si="177"/>
        <v>0</v>
      </c>
      <c r="BZ247" s="2">
        <f t="shared" si="177"/>
        <v>0</v>
      </c>
      <c r="CA247" s="2">
        <f aca="true" t="shared" si="178" ref="CA247:DF247">CA257</f>
        <v>35074.26</v>
      </c>
      <c r="CB247" s="2">
        <f t="shared" si="178"/>
        <v>714.62</v>
      </c>
      <c r="CC247" s="2">
        <f t="shared" si="178"/>
        <v>34359.64</v>
      </c>
      <c r="CD247" s="2">
        <f t="shared" si="178"/>
        <v>0</v>
      </c>
      <c r="CE247" s="2">
        <f t="shared" si="178"/>
        <v>35074.26</v>
      </c>
      <c r="CF247" s="2">
        <f t="shared" si="178"/>
        <v>35074.26</v>
      </c>
      <c r="CG247" s="2">
        <f t="shared" si="178"/>
        <v>0</v>
      </c>
      <c r="CH247" s="2">
        <f t="shared" si="178"/>
        <v>35074.26</v>
      </c>
      <c r="CI247" s="2">
        <f t="shared" si="178"/>
        <v>0</v>
      </c>
      <c r="CJ247" s="2">
        <f t="shared" si="178"/>
        <v>0</v>
      </c>
      <c r="CK247" s="2">
        <f t="shared" si="178"/>
        <v>0</v>
      </c>
      <c r="CL247" s="2">
        <f t="shared" si="178"/>
        <v>0</v>
      </c>
      <c r="CM247" s="2">
        <f t="shared" si="178"/>
        <v>0</v>
      </c>
      <c r="CN247" s="2">
        <f t="shared" si="178"/>
        <v>0</v>
      </c>
      <c r="CO247" s="2">
        <f t="shared" si="178"/>
        <v>0</v>
      </c>
      <c r="CP247" s="2">
        <f t="shared" si="178"/>
        <v>0</v>
      </c>
      <c r="CQ247" s="2">
        <f t="shared" si="178"/>
        <v>0</v>
      </c>
      <c r="CR247" s="2">
        <f t="shared" si="178"/>
        <v>0</v>
      </c>
      <c r="CS247" s="2">
        <f t="shared" si="178"/>
        <v>0</v>
      </c>
      <c r="CT247" s="2">
        <f t="shared" si="178"/>
        <v>0</v>
      </c>
      <c r="CU247" s="2">
        <f t="shared" si="178"/>
        <v>0</v>
      </c>
      <c r="CV247" s="2">
        <f t="shared" si="178"/>
        <v>0</v>
      </c>
      <c r="CW247" s="2">
        <f t="shared" si="178"/>
        <v>0</v>
      </c>
      <c r="CX247" s="2">
        <f t="shared" si="178"/>
        <v>0</v>
      </c>
      <c r="CY247" s="2">
        <f t="shared" si="178"/>
        <v>0</v>
      </c>
      <c r="CZ247" s="2">
        <f t="shared" si="178"/>
        <v>0</v>
      </c>
      <c r="DA247" s="2">
        <f t="shared" si="178"/>
        <v>0</v>
      </c>
      <c r="DB247" s="2">
        <f t="shared" si="178"/>
        <v>0</v>
      </c>
      <c r="DC247" s="2">
        <f t="shared" si="178"/>
        <v>0</v>
      </c>
      <c r="DD247" s="2">
        <f t="shared" si="178"/>
        <v>0</v>
      </c>
      <c r="DE247" s="2">
        <f t="shared" si="178"/>
        <v>0</v>
      </c>
      <c r="DF247" s="2">
        <f t="shared" si="178"/>
        <v>0</v>
      </c>
      <c r="DG247" s="3">
        <f aca="true" t="shared" si="179" ref="DG247:EL247">DG257</f>
        <v>0</v>
      </c>
      <c r="DH247" s="3">
        <f t="shared" si="179"/>
        <v>0</v>
      </c>
      <c r="DI247" s="3">
        <f t="shared" si="179"/>
        <v>0</v>
      </c>
      <c r="DJ247" s="3">
        <f t="shared" si="179"/>
        <v>0</v>
      </c>
      <c r="DK247" s="3">
        <f t="shared" si="179"/>
        <v>0</v>
      </c>
      <c r="DL247" s="3">
        <f t="shared" si="179"/>
        <v>0</v>
      </c>
      <c r="DM247" s="3">
        <f t="shared" si="179"/>
        <v>0</v>
      </c>
      <c r="DN247" s="3">
        <f t="shared" si="179"/>
        <v>0</v>
      </c>
      <c r="DO247" s="3">
        <f t="shared" si="179"/>
        <v>0</v>
      </c>
      <c r="DP247" s="3">
        <f t="shared" si="179"/>
        <v>0</v>
      </c>
      <c r="DQ247" s="3">
        <f t="shared" si="179"/>
        <v>0</v>
      </c>
      <c r="DR247" s="3">
        <f t="shared" si="179"/>
        <v>0</v>
      </c>
      <c r="DS247" s="3">
        <f t="shared" si="179"/>
        <v>0</v>
      </c>
      <c r="DT247" s="3">
        <f t="shared" si="179"/>
        <v>0</v>
      </c>
      <c r="DU247" s="3">
        <f t="shared" si="179"/>
        <v>0</v>
      </c>
      <c r="DV247" s="3">
        <f t="shared" si="179"/>
        <v>0</v>
      </c>
      <c r="DW247" s="3">
        <f t="shared" si="179"/>
        <v>0</v>
      </c>
      <c r="DX247" s="3">
        <f t="shared" si="179"/>
        <v>0</v>
      </c>
      <c r="DY247" s="3">
        <f t="shared" si="179"/>
        <v>0</v>
      </c>
      <c r="DZ247" s="3">
        <f t="shared" si="179"/>
        <v>0</v>
      </c>
      <c r="EA247" s="3">
        <f t="shared" si="179"/>
        <v>0</v>
      </c>
      <c r="EB247" s="3">
        <f t="shared" si="179"/>
        <v>0</v>
      </c>
      <c r="EC247" s="3">
        <f t="shared" si="179"/>
        <v>0</v>
      </c>
      <c r="ED247" s="3">
        <f t="shared" si="179"/>
        <v>0</v>
      </c>
      <c r="EE247" s="3">
        <f t="shared" si="179"/>
        <v>0</v>
      </c>
      <c r="EF247" s="3">
        <f t="shared" si="179"/>
        <v>0</v>
      </c>
      <c r="EG247" s="3">
        <f t="shared" si="179"/>
        <v>0</v>
      </c>
      <c r="EH247" s="3">
        <f t="shared" si="179"/>
        <v>0</v>
      </c>
      <c r="EI247" s="3">
        <f t="shared" si="179"/>
        <v>0</v>
      </c>
      <c r="EJ247" s="3">
        <f t="shared" si="179"/>
        <v>0</v>
      </c>
      <c r="EK247" s="3">
        <f t="shared" si="179"/>
        <v>0</v>
      </c>
      <c r="EL247" s="3">
        <f t="shared" si="179"/>
        <v>0</v>
      </c>
      <c r="EM247" s="3">
        <f aca="true" t="shared" si="180" ref="EM247:FR247">EM257</f>
        <v>0</v>
      </c>
      <c r="EN247" s="3">
        <f t="shared" si="180"/>
        <v>0</v>
      </c>
      <c r="EO247" s="3">
        <f t="shared" si="180"/>
        <v>0</v>
      </c>
      <c r="EP247" s="3">
        <f t="shared" si="180"/>
        <v>0</v>
      </c>
      <c r="EQ247" s="3">
        <f t="shared" si="180"/>
        <v>0</v>
      </c>
      <c r="ER247" s="3">
        <f t="shared" si="180"/>
        <v>0</v>
      </c>
      <c r="ES247" s="3">
        <f t="shared" si="180"/>
        <v>0</v>
      </c>
      <c r="ET247" s="3">
        <f t="shared" si="180"/>
        <v>0</v>
      </c>
      <c r="EU247" s="3">
        <f t="shared" si="180"/>
        <v>0</v>
      </c>
      <c r="EV247" s="3">
        <f t="shared" si="180"/>
        <v>0</v>
      </c>
      <c r="EW247" s="3">
        <f t="shared" si="180"/>
        <v>0</v>
      </c>
      <c r="EX247" s="3">
        <f t="shared" si="180"/>
        <v>0</v>
      </c>
      <c r="EY247" s="3">
        <f t="shared" si="180"/>
        <v>0</v>
      </c>
      <c r="EZ247" s="3">
        <f t="shared" si="180"/>
        <v>0</v>
      </c>
      <c r="FA247" s="3">
        <f t="shared" si="180"/>
        <v>0</v>
      </c>
      <c r="FB247" s="3">
        <f t="shared" si="180"/>
        <v>0</v>
      </c>
      <c r="FC247" s="3">
        <f t="shared" si="180"/>
        <v>0</v>
      </c>
      <c r="FD247" s="3">
        <f t="shared" si="180"/>
        <v>0</v>
      </c>
      <c r="FE247" s="3">
        <f t="shared" si="180"/>
        <v>0</v>
      </c>
      <c r="FF247" s="3">
        <f t="shared" si="180"/>
        <v>0</v>
      </c>
      <c r="FG247" s="3">
        <f t="shared" si="180"/>
        <v>0</v>
      </c>
      <c r="FH247" s="3">
        <f t="shared" si="180"/>
        <v>0</v>
      </c>
      <c r="FI247" s="3">
        <f t="shared" si="180"/>
        <v>0</v>
      </c>
      <c r="FJ247" s="3">
        <f t="shared" si="180"/>
        <v>0</v>
      </c>
      <c r="FK247" s="3">
        <f t="shared" si="180"/>
        <v>0</v>
      </c>
      <c r="FL247" s="3">
        <f t="shared" si="180"/>
        <v>0</v>
      </c>
      <c r="FM247" s="3">
        <f t="shared" si="180"/>
        <v>0</v>
      </c>
      <c r="FN247" s="3">
        <f t="shared" si="180"/>
        <v>0</v>
      </c>
      <c r="FO247" s="3">
        <f t="shared" si="180"/>
        <v>0</v>
      </c>
      <c r="FP247" s="3">
        <f t="shared" si="180"/>
        <v>0</v>
      </c>
      <c r="FQ247" s="3">
        <f t="shared" si="180"/>
        <v>0</v>
      </c>
      <c r="FR247" s="3">
        <f t="shared" si="180"/>
        <v>0</v>
      </c>
      <c r="FS247" s="3">
        <f aca="true" t="shared" si="181" ref="FS247:GX247">FS257</f>
        <v>0</v>
      </c>
      <c r="FT247" s="3">
        <f t="shared" si="181"/>
        <v>0</v>
      </c>
      <c r="FU247" s="3">
        <f t="shared" si="181"/>
        <v>0</v>
      </c>
      <c r="FV247" s="3">
        <f t="shared" si="181"/>
        <v>0</v>
      </c>
      <c r="FW247" s="3">
        <f t="shared" si="181"/>
        <v>0</v>
      </c>
      <c r="FX247" s="3">
        <f t="shared" si="181"/>
        <v>0</v>
      </c>
      <c r="FY247" s="3">
        <f t="shared" si="181"/>
        <v>0</v>
      </c>
      <c r="FZ247" s="3">
        <f t="shared" si="181"/>
        <v>0</v>
      </c>
      <c r="GA247" s="3">
        <f t="shared" si="181"/>
        <v>0</v>
      </c>
      <c r="GB247" s="3">
        <f t="shared" si="181"/>
        <v>0</v>
      </c>
      <c r="GC247" s="3">
        <f t="shared" si="181"/>
        <v>0</v>
      </c>
      <c r="GD247" s="3">
        <f t="shared" si="181"/>
        <v>0</v>
      </c>
      <c r="GE247" s="3">
        <f t="shared" si="181"/>
        <v>0</v>
      </c>
      <c r="GF247" s="3">
        <f t="shared" si="181"/>
        <v>0</v>
      </c>
      <c r="GG247" s="3">
        <f t="shared" si="181"/>
        <v>0</v>
      </c>
      <c r="GH247" s="3">
        <f t="shared" si="181"/>
        <v>0</v>
      </c>
      <c r="GI247" s="3">
        <f t="shared" si="181"/>
        <v>0</v>
      </c>
      <c r="GJ247" s="3">
        <f t="shared" si="181"/>
        <v>0</v>
      </c>
      <c r="GK247" s="3">
        <f t="shared" si="181"/>
        <v>0</v>
      </c>
      <c r="GL247" s="3">
        <f t="shared" si="181"/>
        <v>0</v>
      </c>
      <c r="GM247" s="3">
        <f t="shared" si="181"/>
        <v>0</v>
      </c>
      <c r="GN247" s="3">
        <f t="shared" si="181"/>
        <v>0</v>
      </c>
      <c r="GO247" s="3">
        <f t="shared" si="181"/>
        <v>0</v>
      </c>
      <c r="GP247" s="3">
        <f t="shared" si="181"/>
        <v>0</v>
      </c>
      <c r="GQ247" s="3">
        <f t="shared" si="181"/>
        <v>0</v>
      </c>
      <c r="GR247" s="3">
        <f t="shared" si="181"/>
        <v>0</v>
      </c>
      <c r="GS247" s="3">
        <f t="shared" si="181"/>
        <v>0</v>
      </c>
      <c r="GT247" s="3">
        <f t="shared" si="181"/>
        <v>0</v>
      </c>
      <c r="GU247" s="3">
        <f t="shared" si="181"/>
        <v>0</v>
      </c>
      <c r="GV247" s="3">
        <f t="shared" si="181"/>
        <v>0</v>
      </c>
      <c r="GW247" s="3">
        <f t="shared" si="181"/>
        <v>0</v>
      </c>
      <c r="GX247" s="3">
        <f t="shared" si="181"/>
        <v>0</v>
      </c>
    </row>
    <row r="249" spans="1:245" ht="12.75">
      <c r="A249">
        <v>17</v>
      </c>
      <c r="B249">
        <v>1</v>
      </c>
      <c r="E249" t="s">
        <v>336</v>
      </c>
      <c r="F249" t="s">
        <v>337</v>
      </c>
      <c r="G249" t="s">
        <v>338</v>
      </c>
      <c r="H249" t="s">
        <v>339</v>
      </c>
      <c r="I249">
        <f>ROUND(ROUND(200,4),7)</f>
        <v>200</v>
      </c>
      <c r="J249">
        <v>0</v>
      </c>
      <c r="K249">
        <f>ROUND(ROUND(200,4),7)</f>
        <v>200</v>
      </c>
      <c r="O249">
        <f aca="true" t="shared" si="182" ref="O249:O255">ROUND(CP249,2)</f>
        <v>30201.17</v>
      </c>
      <c r="P249">
        <f>ROUND(ROUND(CQ249*I249,2)/BC249,2)</f>
        <v>30201.17</v>
      </c>
      <c r="Q249">
        <f aca="true" t="shared" si="183" ref="Q249:Q255">ROUND(CR249*I249,2)</f>
        <v>0</v>
      </c>
      <c r="R249">
        <f aca="true" t="shared" si="184" ref="R249:R255">ROUND(CS249*I249,2)</f>
        <v>0</v>
      </c>
      <c r="S249">
        <f aca="true" t="shared" si="185" ref="S249:S255">ROUND(CT249*I249,2)</f>
        <v>0</v>
      </c>
      <c r="T249">
        <f aca="true" t="shared" si="186" ref="T249:T255">ROUND(CU249*I249,2)</f>
        <v>0</v>
      </c>
      <c r="U249">
        <f aca="true" t="shared" si="187" ref="U249:U255">CV249*I249</f>
        <v>0</v>
      </c>
      <c r="V249">
        <f aca="true" t="shared" si="188" ref="V249:V255">CW249*I249</f>
        <v>0</v>
      </c>
      <c r="W249">
        <f aca="true" t="shared" si="189" ref="W249:W255">ROUND(CX249*I249,2)</f>
        <v>0</v>
      </c>
      <c r="X249">
        <f aca="true" t="shared" si="190" ref="X249:Y255">ROUND(CY249,2)</f>
        <v>0</v>
      </c>
      <c r="Y249">
        <f t="shared" si="190"/>
        <v>0</v>
      </c>
      <c r="AA249">
        <v>44571020</v>
      </c>
      <c r="AB249">
        <f aca="true" t="shared" si="191" ref="AB249:AB255">ROUND((AC249+AD249+AF249),2)</f>
        <v>777.68</v>
      </c>
      <c r="AC249">
        <f aca="true" t="shared" si="192" ref="AC249:AC255">ROUND((ES249),2)</f>
        <v>777.68</v>
      </c>
      <c r="AD249">
        <f aca="true" t="shared" si="193" ref="AD249:AD255">ROUND((((ET249)-(EU249))+AE249),2)</f>
        <v>0</v>
      </c>
      <c r="AE249">
        <f aca="true" t="shared" si="194" ref="AE249:AF255">ROUND((EU249),2)</f>
        <v>0</v>
      </c>
      <c r="AF249">
        <f t="shared" si="194"/>
        <v>0</v>
      </c>
      <c r="AG249">
        <f aca="true" t="shared" si="195" ref="AG249:AG255">ROUND((AP249),2)</f>
        <v>0</v>
      </c>
      <c r="AH249">
        <f aca="true" t="shared" si="196" ref="AH249:AI255">(EW249)</f>
        <v>0</v>
      </c>
      <c r="AI249">
        <f t="shared" si="196"/>
        <v>0</v>
      </c>
      <c r="AJ249">
        <f aca="true" t="shared" si="197" ref="AJ249:AJ255">(AS249)</f>
        <v>0</v>
      </c>
      <c r="AK249">
        <v>777.68</v>
      </c>
      <c r="AL249">
        <v>777.68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1</v>
      </c>
      <c r="AW249">
        <v>1</v>
      </c>
      <c r="AZ249">
        <v>1</v>
      </c>
      <c r="BA249">
        <v>1</v>
      </c>
      <c r="BB249">
        <v>1</v>
      </c>
      <c r="BC249">
        <v>5.15</v>
      </c>
      <c r="BH249">
        <v>3</v>
      </c>
      <c r="BI249">
        <v>2</v>
      </c>
      <c r="BJ249" t="s">
        <v>337</v>
      </c>
      <c r="BM249">
        <v>500004</v>
      </c>
      <c r="BN249">
        <v>0</v>
      </c>
      <c r="BP249">
        <v>0</v>
      </c>
      <c r="BQ249">
        <v>14</v>
      </c>
      <c r="BR249">
        <v>0</v>
      </c>
      <c r="BS249">
        <v>1</v>
      </c>
      <c r="BT249">
        <v>1</v>
      </c>
      <c r="BU249">
        <v>1</v>
      </c>
      <c r="BV249">
        <v>1</v>
      </c>
      <c r="BW249">
        <v>1</v>
      </c>
      <c r="BX249">
        <v>1</v>
      </c>
      <c r="BZ249">
        <v>0</v>
      </c>
      <c r="CA249">
        <v>0</v>
      </c>
      <c r="CE249">
        <v>0</v>
      </c>
      <c r="CF249">
        <v>0</v>
      </c>
      <c r="CG249">
        <v>0</v>
      </c>
      <c r="CM249">
        <v>0</v>
      </c>
      <c r="CO249">
        <v>0</v>
      </c>
      <c r="CP249">
        <f aca="true" t="shared" si="198" ref="CP249:CP255">(P249+Q249+S249)</f>
        <v>30201.17</v>
      </c>
      <c r="CQ249">
        <f>AC249</f>
        <v>777.68</v>
      </c>
      <c r="CR249">
        <f aca="true" t="shared" si="199" ref="CR249:CR255">AD249*BB249</f>
        <v>0</v>
      </c>
      <c r="CS249">
        <f aca="true" t="shared" si="200" ref="CS249:CX255">AE249</f>
        <v>0</v>
      </c>
      <c r="CT249">
        <f t="shared" si="200"/>
        <v>0</v>
      </c>
      <c r="CU249">
        <f t="shared" si="200"/>
        <v>0</v>
      </c>
      <c r="CV249">
        <f t="shared" si="200"/>
        <v>0</v>
      </c>
      <c r="CW249">
        <f t="shared" si="200"/>
        <v>0</v>
      </c>
      <c r="CX249">
        <f t="shared" si="200"/>
        <v>0</v>
      </c>
      <c r="CY249">
        <f aca="true" t="shared" si="201" ref="CY249:CY255">(((S249+R249)*AT249)/100)</f>
        <v>0</v>
      </c>
      <c r="CZ249">
        <f aca="true" t="shared" si="202" ref="CZ249:CZ255">(((S249+R249)*AU249)/100)</f>
        <v>0</v>
      </c>
      <c r="DN249">
        <v>0</v>
      </c>
      <c r="DO249">
        <v>0</v>
      </c>
      <c r="DP249">
        <v>1</v>
      </c>
      <c r="DQ249">
        <v>1</v>
      </c>
      <c r="DU249">
        <v>1003</v>
      </c>
      <c r="DV249" t="s">
        <v>339</v>
      </c>
      <c r="DW249" t="s">
        <v>339</v>
      </c>
      <c r="DX249">
        <v>1</v>
      </c>
      <c r="EE249">
        <v>37976239</v>
      </c>
      <c r="EF249">
        <v>14</v>
      </c>
      <c r="EG249" t="s">
        <v>301</v>
      </c>
      <c r="EH249">
        <v>0</v>
      </c>
      <c r="EJ249">
        <v>2</v>
      </c>
      <c r="EK249">
        <v>500004</v>
      </c>
      <c r="EL249" t="s">
        <v>302</v>
      </c>
      <c r="EM249" t="s">
        <v>303</v>
      </c>
      <c r="EQ249">
        <v>0</v>
      </c>
      <c r="ER249">
        <v>777.68</v>
      </c>
      <c r="ES249">
        <v>777.68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5</v>
      </c>
      <c r="FC249">
        <v>1</v>
      </c>
      <c r="FD249">
        <v>18</v>
      </c>
      <c r="FF249">
        <v>867.22</v>
      </c>
      <c r="FQ249">
        <v>0</v>
      </c>
      <c r="FR249">
        <f aca="true" t="shared" si="203" ref="FR249:FR255">ROUND(IF(AND(BH249=3,BI249=3),P249,0),2)</f>
        <v>0</v>
      </c>
      <c r="FS249">
        <v>0</v>
      </c>
      <c r="FX249">
        <v>0</v>
      </c>
      <c r="FY249">
        <v>0</v>
      </c>
      <c r="GA249" t="s">
        <v>340</v>
      </c>
      <c r="GD249">
        <v>1</v>
      </c>
      <c r="GF249">
        <v>451456291</v>
      </c>
      <c r="GG249">
        <v>2</v>
      </c>
      <c r="GH249">
        <v>3</v>
      </c>
      <c r="GI249">
        <v>4</v>
      </c>
      <c r="GJ249">
        <v>0</v>
      </c>
      <c r="GK249">
        <v>0</v>
      </c>
      <c r="GL249">
        <f aca="true" t="shared" si="204" ref="GL249:GL255">ROUND(IF(AND(BH249=3,BI249=3,FS249&lt;&gt;0),P249,0),2)</f>
        <v>0</v>
      </c>
      <c r="GM249">
        <f aca="true" t="shared" si="205" ref="GM249:GM255">ROUND(O249+X249+Y249,2)+GX249</f>
        <v>30201.17</v>
      </c>
      <c r="GN249">
        <f aca="true" t="shared" si="206" ref="GN249:GN255">IF(OR(BI249=0,BI249=1),ROUND(O249+X249+Y249,2),0)</f>
        <v>0</v>
      </c>
      <c r="GO249">
        <f aca="true" t="shared" si="207" ref="GO249:GO255">IF(BI249=2,ROUND(O249+X249+Y249,2),0)</f>
        <v>30201.17</v>
      </c>
      <c r="GP249">
        <f aca="true" t="shared" si="208" ref="GP249:GP255">IF(BI249=4,ROUND(O249+X249+Y249,2)+GX249,0)</f>
        <v>0</v>
      </c>
      <c r="GR249">
        <v>1</v>
      </c>
      <c r="GS249">
        <v>1</v>
      </c>
      <c r="GT249">
        <v>0</v>
      </c>
      <c r="GV249">
        <f aca="true" t="shared" si="209" ref="GV249:GV255">ROUND((GT249),2)</f>
        <v>0</v>
      </c>
      <c r="GW249">
        <v>1</v>
      </c>
      <c r="GX249">
        <f aca="true" t="shared" si="210" ref="GX249:GX255">ROUND(HC249*I249,2)</f>
        <v>0</v>
      </c>
      <c r="HA249">
        <v>0</v>
      </c>
      <c r="HB249">
        <v>0</v>
      </c>
      <c r="HC249">
        <f aca="true" t="shared" si="211" ref="HC249:HC255">GV249*GW249</f>
        <v>0</v>
      </c>
      <c r="HE249" t="s">
        <v>341</v>
      </c>
      <c r="HF249" t="s">
        <v>28</v>
      </c>
      <c r="HG249">
        <f>ROUND(AC249*I249,2)</f>
        <v>155536</v>
      </c>
      <c r="HI249">
        <f aca="true" t="shared" si="212" ref="HI249:HI255">ROUND(R249*BS249,2)</f>
        <v>0</v>
      </c>
      <c r="HJ249">
        <f aca="true" t="shared" si="213" ref="HJ249:HJ255">ROUND(S249*BA249,2)</f>
        <v>0</v>
      </c>
      <c r="HK249">
        <f aca="true" t="shared" si="214" ref="HK249:HK255">ROUND((((HJ249+HI249)*AT249)/100),2)</f>
        <v>0</v>
      </c>
      <c r="HL249">
        <f aca="true" t="shared" si="215" ref="HL249:HL255">ROUND((((HJ249+HI249)*AU249)/100),2)</f>
        <v>0</v>
      </c>
      <c r="IK249">
        <v>0</v>
      </c>
    </row>
    <row r="250" spans="1:245" ht="12.75">
      <c r="A250">
        <v>17</v>
      </c>
      <c r="B250">
        <v>1</v>
      </c>
      <c r="E250" t="s">
        <v>342</v>
      </c>
      <c r="F250" t="s">
        <v>343</v>
      </c>
      <c r="G250" t="s">
        <v>344</v>
      </c>
      <c r="H250" t="s">
        <v>283</v>
      </c>
      <c r="I250">
        <f>ROUND(ROUND(6.66,4),7)</f>
        <v>6.66</v>
      </c>
      <c r="J250">
        <v>0</v>
      </c>
      <c r="K250">
        <f>ROUND(ROUND(6.66,4),7)</f>
        <v>6.66</v>
      </c>
      <c r="O250">
        <f t="shared" si="182"/>
        <v>714.62</v>
      </c>
      <c r="P250">
        <f>ROUND(CQ250*I250,2)</f>
        <v>714.62</v>
      </c>
      <c r="Q250">
        <f t="shared" si="183"/>
        <v>0</v>
      </c>
      <c r="R250">
        <f t="shared" si="184"/>
        <v>0</v>
      </c>
      <c r="S250">
        <f t="shared" si="185"/>
        <v>0</v>
      </c>
      <c r="T250">
        <f t="shared" si="186"/>
        <v>0</v>
      </c>
      <c r="U250">
        <f t="shared" si="187"/>
        <v>0</v>
      </c>
      <c r="V250">
        <f t="shared" si="188"/>
        <v>0</v>
      </c>
      <c r="W250">
        <f t="shared" si="189"/>
        <v>0</v>
      </c>
      <c r="X250">
        <f t="shared" si="190"/>
        <v>0</v>
      </c>
      <c r="Y250">
        <f t="shared" si="190"/>
        <v>0</v>
      </c>
      <c r="AA250">
        <v>44571020</v>
      </c>
      <c r="AB250">
        <f t="shared" si="191"/>
        <v>107.3</v>
      </c>
      <c r="AC250">
        <f t="shared" si="192"/>
        <v>107.3</v>
      </c>
      <c r="AD250">
        <f t="shared" si="193"/>
        <v>0</v>
      </c>
      <c r="AE250">
        <f t="shared" si="194"/>
        <v>0</v>
      </c>
      <c r="AF250">
        <f t="shared" si="194"/>
        <v>0</v>
      </c>
      <c r="AG250">
        <f t="shared" si="195"/>
        <v>0</v>
      </c>
      <c r="AH250">
        <f t="shared" si="196"/>
        <v>0</v>
      </c>
      <c r="AI250">
        <f t="shared" si="196"/>
        <v>0</v>
      </c>
      <c r="AJ250">
        <f t="shared" si="197"/>
        <v>0</v>
      </c>
      <c r="AK250">
        <v>107.3</v>
      </c>
      <c r="AL250">
        <v>107.3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1</v>
      </c>
      <c r="AW250">
        <v>1</v>
      </c>
      <c r="AZ250">
        <v>1</v>
      </c>
      <c r="BA250">
        <v>1</v>
      </c>
      <c r="BB250">
        <v>1</v>
      </c>
      <c r="BC250">
        <v>1</v>
      </c>
      <c r="BH250">
        <v>3</v>
      </c>
      <c r="BI250">
        <v>1</v>
      </c>
      <c r="BJ250" t="s">
        <v>345</v>
      </c>
      <c r="BM250">
        <v>500001</v>
      </c>
      <c r="BN250">
        <v>0</v>
      </c>
      <c r="BP250">
        <v>0</v>
      </c>
      <c r="BQ250">
        <v>8</v>
      </c>
      <c r="BR250">
        <v>0</v>
      </c>
      <c r="BS250">
        <v>1</v>
      </c>
      <c r="BT250">
        <v>1</v>
      </c>
      <c r="BU250">
        <v>1</v>
      </c>
      <c r="BV250">
        <v>1</v>
      </c>
      <c r="BW250">
        <v>1</v>
      </c>
      <c r="BX250">
        <v>1</v>
      </c>
      <c r="BZ250">
        <v>0</v>
      </c>
      <c r="CA250">
        <v>0</v>
      </c>
      <c r="CE250">
        <v>0</v>
      </c>
      <c r="CF250">
        <v>0</v>
      </c>
      <c r="CG250">
        <v>0</v>
      </c>
      <c r="CM250">
        <v>0</v>
      </c>
      <c r="CO250">
        <v>0</v>
      </c>
      <c r="CP250">
        <f t="shared" si="198"/>
        <v>714.62</v>
      </c>
      <c r="CQ250">
        <f>AC250*BC250</f>
        <v>107.3</v>
      </c>
      <c r="CR250">
        <f t="shared" si="199"/>
        <v>0</v>
      </c>
      <c r="CS250">
        <f t="shared" si="200"/>
        <v>0</v>
      </c>
      <c r="CT250">
        <f t="shared" si="200"/>
        <v>0</v>
      </c>
      <c r="CU250">
        <f t="shared" si="200"/>
        <v>0</v>
      </c>
      <c r="CV250">
        <f t="shared" si="200"/>
        <v>0</v>
      </c>
      <c r="CW250">
        <f t="shared" si="200"/>
        <v>0</v>
      </c>
      <c r="CX250">
        <f t="shared" si="200"/>
        <v>0</v>
      </c>
      <c r="CY250">
        <f t="shared" si="201"/>
        <v>0</v>
      </c>
      <c r="CZ250">
        <f t="shared" si="202"/>
        <v>0</v>
      </c>
      <c r="DN250">
        <v>0</v>
      </c>
      <c r="DO250">
        <v>0</v>
      </c>
      <c r="DP250">
        <v>1</v>
      </c>
      <c r="DQ250">
        <v>1</v>
      </c>
      <c r="DU250">
        <v>1007</v>
      </c>
      <c r="DV250" t="s">
        <v>283</v>
      </c>
      <c r="DW250" t="s">
        <v>283</v>
      </c>
      <c r="DX250">
        <v>1</v>
      </c>
      <c r="EE250">
        <v>37975977</v>
      </c>
      <c r="EF250">
        <v>8</v>
      </c>
      <c r="EG250" t="s">
        <v>285</v>
      </c>
      <c r="EH250">
        <v>0</v>
      </c>
      <c r="EJ250">
        <v>1</v>
      </c>
      <c r="EK250">
        <v>500001</v>
      </c>
      <c r="EL250" t="s">
        <v>286</v>
      </c>
      <c r="EM250" t="s">
        <v>287</v>
      </c>
      <c r="EQ250">
        <v>0</v>
      </c>
      <c r="ER250">
        <v>107.3</v>
      </c>
      <c r="ES250">
        <v>107.3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FQ250">
        <v>0</v>
      </c>
      <c r="FR250">
        <f t="shared" si="203"/>
        <v>0</v>
      </c>
      <c r="FS250">
        <v>0</v>
      </c>
      <c r="FX250">
        <v>0</v>
      </c>
      <c r="FY250">
        <v>0</v>
      </c>
      <c r="GD250">
        <v>1</v>
      </c>
      <c r="GF250">
        <v>-1268693974</v>
      </c>
      <c r="GG250">
        <v>2</v>
      </c>
      <c r="GH250">
        <v>1</v>
      </c>
      <c r="GI250">
        <v>4</v>
      </c>
      <c r="GJ250">
        <v>0</v>
      </c>
      <c r="GK250">
        <v>0</v>
      </c>
      <c r="GL250">
        <f t="shared" si="204"/>
        <v>0</v>
      </c>
      <c r="GM250">
        <f t="shared" si="205"/>
        <v>714.62</v>
      </c>
      <c r="GN250">
        <f t="shared" si="206"/>
        <v>714.62</v>
      </c>
      <c r="GO250">
        <f t="shared" si="207"/>
        <v>0</v>
      </c>
      <c r="GP250">
        <f t="shared" si="208"/>
        <v>0</v>
      </c>
      <c r="GR250">
        <v>0</v>
      </c>
      <c r="GS250">
        <v>3</v>
      </c>
      <c r="GT250">
        <v>0</v>
      </c>
      <c r="GV250">
        <f t="shared" si="209"/>
        <v>0</v>
      </c>
      <c r="GW250">
        <v>1</v>
      </c>
      <c r="GX250">
        <f t="shared" si="210"/>
        <v>0</v>
      </c>
      <c r="HA250">
        <v>0</v>
      </c>
      <c r="HB250">
        <v>0</v>
      </c>
      <c r="HC250">
        <f t="shared" si="211"/>
        <v>0</v>
      </c>
      <c r="HI250">
        <f t="shared" si="212"/>
        <v>0</v>
      </c>
      <c r="HJ250">
        <f t="shared" si="213"/>
        <v>0</v>
      </c>
      <c r="HK250">
        <f t="shared" si="214"/>
        <v>0</v>
      </c>
      <c r="HL250">
        <f t="shared" si="215"/>
        <v>0</v>
      </c>
      <c r="IK250">
        <v>0</v>
      </c>
    </row>
    <row r="251" spans="1:245" ht="12.75">
      <c r="A251">
        <v>17</v>
      </c>
      <c r="B251">
        <v>1</v>
      </c>
      <c r="E251" t="s">
        <v>346</v>
      </c>
      <c r="F251" t="s">
        <v>337</v>
      </c>
      <c r="G251" t="s">
        <v>347</v>
      </c>
      <c r="H251" t="s">
        <v>348</v>
      </c>
      <c r="I251">
        <f>ROUND(ROUND(340,4),7)</f>
        <v>340</v>
      </c>
      <c r="J251">
        <v>0</v>
      </c>
      <c r="K251">
        <f>ROUND(ROUND(340,4),7)</f>
        <v>340</v>
      </c>
      <c r="O251">
        <f t="shared" si="182"/>
        <v>1420.74</v>
      </c>
      <c r="P251">
        <f>ROUND(ROUND(CQ251*I251,2)/BC251,2)</f>
        <v>1420.74</v>
      </c>
      <c r="Q251">
        <f t="shared" si="183"/>
        <v>0</v>
      </c>
      <c r="R251">
        <f t="shared" si="184"/>
        <v>0</v>
      </c>
      <c r="S251">
        <f t="shared" si="185"/>
        <v>0</v>
      </c>
      <c r="T251">
        <f t="shared" si="186"/>
        <v>0</v>
      </c>
      <c r="U251">
        <f t="shared" si="187"/>
        <v>0</v>
      </c>
      <c r="V251">
        <f t="shared" si="188"/>
        <v>0</v>
      </c>
      <c r="W251">
        <f t="shared" si="189"/>
        <v>0</v>
      </c>
      <c r="X251">
        <f t="shared" si="190"/>
        <v>0</v>
      </c>
      <c r="Y251">
        <f t="shared" si="190"/>
        <v>0</v>
      </c>
      <c r="AA251">
        <v>44571020</v>
      </c>
      <c r="AB251">
        <f t="shared" si="191"/>
        <v>21.52</v>
      </c>
      <c r="AC251">
        <f t="shared" si="192"/>
        <v>21.52</v>
      </c>
      <c r="AD251">
        <f t="shared" si="193"/>
        <v>0</v>
      </c>
      <c r="AE251">
        <f t="shared" si="194"/>
        <v>0</v>
      </c>
      <c r="AF251">
        <f t="shared" si="194"/>
        <v>0</v>
      </c>
      <c r="AG251">
        <f t="shared" si="195"/>
        <v>0</v>
      </c>
      <c r="AH251">
        <f t="shared" si="196"/>
        <v>0</v>
      </c>
      <c r="AI251">
        <f t="shared" si="196"/>
        <v>0</v>
      </c>
      <c r="AJ251">
        <f t="shared" si="197"/>
        <v>0</v>
      </c>
      <c r="AK251">
        <v>21.520000000000003</v>
      </c>
      <c r="AL251">
        <v>21.520000000000003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1</v>
      </c>
      <c r="AW251">
        <v>1</v>
      </c>
      <c r="AZ251">
        <v>1</v>
      </c>
      <c r="BA251">
        <v>1</v>
      </c>
      <c r="BB251">
        <v>1</v>
      </c>
      <c r="BC251">
        <v>5.15</v>
      </c>
      <c r="BH251">
        <v>3</v>
      </c>
      <c r="BI251">
        <v>2</v>
      </c>
      <c r="BJ251" t="s">
        <v>337</v>
      </c>
      <c r="BM251">
        <v>500004</v>
      </c>
      <c r="BN251">
        <v>0</v>
      </c>
      <c r="BP251">
        <v>0</v>
      </c>
      <c r="BQ251">
        <v>14</v>
      </c>
      <c r="BR251">
        <v>0</v>
      </c>
      <c r="BS251">
        <v>1</v>
      </c>
      <c r="BT251">
        <v>1</v>
      </c>
      <c r="BU251">
        <v>1</v>
      </c>
      <c r="BV251">
        <v>1</v>
      </c>
      <c r="BW251">
        <v>1</v>
      </c>
      <c r="BX251">
        <v>1</v>
      </c>
      <c r="BZ251">
        <v>0</v>
      </c>
      <c r="CA251">
        <v>0</v>
      </c>
      <c r="CE251">
        <v>0</v>
      </c>
      <c r="CF251">
        <v>0</v>
      </c>
      <c r="CG251">
        <v>0</v>
      </c>
      <c r="CM251">
        <v>0</v>
      </c>
      <c r="CO251">
        <v>0</v>
      </c>
      <c r="CP251">
        <f t="shared" si="198"/>
        <v>1420.74</v>
      </c>
      <c r="CQ251">
        <f>AC251</f>
        <v>21.52</v>
      </c>
      <c r="CR251">
        <f t="shared" si="199"/>
        <v>0</v>
      </c>
      <c r="CS251">
        <f t="shared" si="200"/>
        <v>0</v>
      </c>
      <c r="CT251">
        <f t="shared" si="200"/>
        <v>0</v>
      </c>
      <c r="CU251">
        <f t="shared" si="200"/>
        <v>0</v>
      </c>
      <c r="CV251">
        <f t="shared" si="200"/>
        <v>0</v>
      </c>
      <c r="CW251">
        <f t="shared" si="200"/>
        <v>0</v>
      </c>
      <c r="CX251">
        <f t="shared" si="200"/>
        <v>0</v>
      </c>
      <c r="CY251">
        <f t="shared" si="201"/>
        <v>0</v>
      </c>
      <c r="CZ251">
        <f t="shared" si="202"/>
        <v>0</v>
      </c>
      <c r="DN251">
        <v>0</v>
      </c>
      <c r="DO251">
        <v>0</v>
      </c>
      <c r="DP251">
        <v>1</v>
      </c>
      <c r="DQ251">
        <v>1</v>
      </c>
      <c r="DU251">
        <v>1013</v>
      </c>
      <c r="DV251" t="s">
        <v>348</v>
      </c>
      <c r="DW251" t="s">
        <v>349</v>
      </c>
      <c r="DX251">
        <v>1</v>
      </c>
      <c r="EE251">
        <v>37976239</v>
      </c>
      <c r="EF251">
        <v>14</v>
      </c>
      <c r="EG251" t="s">
        <v>301</v>
      </c>
      <c r="EH251">
        <v>0</v>
      </c>
      <c r="EJ251">
        <v>2</v>
      </c>
      <c r="EK251">
        <v>500004</v>
      </c>
      <c r="EL251" t="s">
        <v>302</v>
      </c>
      <c r="EM251" t="s">
        <v>303</v>
      </c>
      <c r="EQ251">
        <v>0</v>
      </c>
      <c r="ER251">
        <v>21.520000000000003</v>
      </c>
      <c r="ES251">
        <v>21.520000000000003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5</v>
      </c>
      <c r="FC251">
        <v>1</v>
      </c>
      <c r="FD251">
        <v>18</v>
      </c>
      <c r="FF251">
        <v>24</v>
      </c>
      <c r="FQ251">
        <v>0</v>
      </c>
      <c r="FR251">
        <f t="shared" si="203"/>
        <v>0</v>
      </c>
      <c r="FS251">
        <v>0</v>
      </c>
      <c r="FX251">
        <v>0</v>
      </c>
      <c r="FY251">
        <v>0</v>
      </c>
      <c r="GA251" t="s">
        <v>350</v>
      </c>
      <c r="GD251">
        <v>1</v>
      </c>
      <c r="GF251">
        <v>-1891808832</v>
      </c>
      <c r="GG251">
        <v>2</v>
      </c>
      <c r="GH251">
        <v>3</v>
      </c>
      <c r="GI251">
        <v>4</v>
      </c>
      <c r="GJ251">
        <v>0</v>
      </c>
      <c r="GK251">
        <v>0</v>
      </c>
      <c r="GL251">
        <f t="shared" si="204"/>
        <v>0</v>
      </c>
      <c r="GM251">
        <f t="shared" si="205"/>
        <v>1420.74</v>
      </c>
      <c r="GN251">
        <f t="shared" si="206"/>
        <v>0</v>
      </c>
      <c r="GO251">
        <f t="shared" si="207"/>
        <v>1420.74</v>
      </c>
      <c r="GP251">
        <f t="shared" si="208"/>
        <v>0</v>
      </c>
      <c r="GR251">
        <v>1</v>
      </c>
      <c r="GS251">
        <v>1</v>
      </c>
      <c r="GT251">
        <v>0</v>
      </c>
      <c r="GV251">
        <f t="shared" si="209"/>
        <v>0</v>
      </c>
      <c r="GW251">
        <v>1</v>
      </c>
      <c r="GX251">
        <f t="shared" si="210"/>
        <v>0</v>
      </c>
      <c r="HA251">
        <v>0</v>
      </c>
      <c r="HB251">
        <v>0</v>
      </c>
      <c r="HC251">
        <f t="shared" si="211"/>
        <v>0</v>
      </c>
      <c r="HE251" t="s">
        <v>341</v>
      </c>
      <c r="HF251" t="s">
        <v>28</v>
      </c>
      <c r="HG251">
        <f>ROUND(AC251*I251,2)</f>
        <v>7316.8</v>
      </c>
      <c r="HI251">
        <f t="shared" si="212"/>
        <v>0</v>
      </c>
      <c r="HJ251">
        <f t="shared" si="213"/>
        <v>0</v>
      </c>
      <c r="HK251">
        <f t="shared" si="214"/>
        <v>0</v>
      </c>
      <c r="HL251">
        <f t="shared" si="215"/>
        <v>0</v>
      </c>
      <c r="IK251">
        <v>0</v>
      </c>
    </row>
    <row r="252" spans="1:245" ht="12.75">
      <c r="A252">
        <v>17</v>
      </c>
      <c r="B252">
        <v>1</v>
      </c>
      <c r="E252" t="s">
        <v>351</v>
      </c>
      <c r="F252" t="s">
        <v>352</v>
      </c>
      <c r="G252" t="s">
        <v>353</v>
      </c>
      <c r="H252" t="s">
        <v>354</v>
      </c>
      <c r="I252">
        <f>ROUND(ROUND(1,4),7)</f>
        <v>1</v>
      </c>
      <c r="J252">
        <v>0</v>
      </c>
      <c r="K252">
        <f>ROUND(ROUND(1,4),7)</f>
        <v>1</v>
      </c>
      <c r="O252">
        <f t="shared" si="182"/>
        <v>585.72</v>
      </c>
      <c r="P252">
        <f>ROUND(CQ252*I252,2)</f>
        <v>585.72</v>
      </c>
      <c r="Q252">
        <f t="shared" si="183"/>
        <v>0</v>
      </c>
      <c r="R252">
        <f t="shared" si="184"/>
        <v>0</v>
      </c>
      <c r="S252">
        <f t="shared" si="185"/>
        <v>0</v>
      </c>
      <c r="T252">
        <f t="shared" si="186"/>
        <v>0</v>
      </c>
      <c r="U252">
        <f t="shared" si="187"/>
        <v>0</v>
      </c>
      <c r="V252">
        <f t="shared" si="188"/>
        <v>0</v>
      </c>
      <c r="W252">
        <f t="shared" si="189"/>
        <v>0</v>
      </c>
      <c r="X252">
        <f t="shared" si="190"/>
        <v>0</v>
      </c>
      <c r="Y252">
        <f t="shared" si="190"/>
        <v>0</v>
      </c>
      <c r="AA252">
        <v>44571020</v>
      </c>
      <c r="AB252">
        <f t="shared" si="191"/>
        <v>585.72</v>
      </c>
      <c r="AC252">
        <f t="shared" si="192"/>
        <v>585.72</v>
      </c>
      <c r="AD252">
        <f t="shared" si="193"/>
        <v>0</v>
      </c>
      <c r="AE252">
        <f t="shared" si="194"/>
        <v>0</v>
      </c>
      <c r="AF252">
        <f t="shared" si="194"/>
        <v>0</v>
      </c>
      <c r="AG252">
        <f t="shared" si="195"/>
        <v>0</v>
      </c>
      <c r="AH252">
        <f t="shared" si="196"/>
        <v>0</v>
      </c>
      <c r="AI252">
        <f t="shared" si="196"/>
        <v>0</v>
      </c>
      <c r="AJ252">
        <f t="shared" si="197"/>
        <v>0</v>
      </c>
      <c r="AK252">
        <v>585.72</v>
      </c>
      <c r="AL252">
        <v>585.72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1</v>
      </c>
      <c r="AW252">
        <v>1</v>
      </c>
      <c r="AZ252">
        <v>1</v>
      </c>
      <c r="BA252">
        <v>1</v>
      </c>
      <c r="BB252">
        <v>1</v>
      </c>
      <c r="BC252">
        <v>1</v>
      </c>
      <c r="BH252">
        <v>3</v>
      </c>
      <c r="BI252">
        <v>2</v>
      </c>
      <c r="BJ252" t="s">
        <v>355</v>
      </c>
      <c r="BM252">
        <v>500002</v>
      </c>
      <c r="BN252">
        <v>0</v>
      </c>
      <c r="BP252">
        <v>0</v>
      </c>
      <c r="BQ252">
        <v>12</v>
      </c>
      <c r="BR252">
        <v>0</v>
      </c>
      <c r="BS252">
        <v>1</v>
      </c>
      <c r="BT252">
        <v>1</v>
      </c>
      <c r="BU252">
        <v>1</v>
      </c>
      <c r="BV252">
        <v>1</v>
      </c>
      <c r="BW252">
        <v>1</v>
      </c>
      <c r="BX252">
        <v>1</v>
      </c>
      <c r="BZ252">
        <v>0</v>
      </c>
      <c r="CA252">
        <v>0</v>
      </c>
      <c r="CE252">
        <v>0</v>
      </c>
      <c r="CF252">
        <v>0</v>
      </c>
      <c r="CG252">
        <v>0</v>
      </c>
      <c r="CM252">
        <v>0</v>
      </c>
      <c r="CO252">
        <v>0</v>
      </c>
      <c r="CP252">
        <f t="shared" si="198"/>
        <v>585.72</v>
      </c>
      <c r="CQ252">
        <f>AC252*BC252</f>
        <v>585.72</v>
      </c>
      <c r="CR252">
        <f t="shared" si="199"/>
        <v>0</v>
      </c>
      <c r="CS252">
        <f t="shared" si="200"/>
        <v>0</v>
      </c>
      <c r="CT252">
        <f t="shared" si="200"/>
        <v>0</v>
      </c>
      <c r="CU252">
        <f t="shared" si="200"/>
        <v>0</v>
      </c>
      <c r="CV252">
        <f t="shared" si="200"/>
        <v>0</v>
      </c>
      <c r="CW252">
        <f t="shared" si="200"/>
        <v>0</v>
      </c>
      <c r="CX252">
        <f t="shared" si="200"/>
        <v>0</v>
      </c>
      <c r="CY252">
        <f t="shared" si="201"/>
        <v>0</v>
      </c>
      <c r="CZ252">
        <f t="shared" si="202"/>
        <v>0</v>
      </c>
      <c r="DN252">
        <v>0</v>
      </c>
      <c r="DO252">
        <v>0</v>
      </c>
      <c r="DP252">
        <v>1</v>
      </c>
      <c r="DQ252">
        <v>1</v>
      </c>
      <c r="DU252">
        <v>1013</v>
      </c>
      <c r="DV252" t="s">
        <v>354</v>
      </c>
      <c r="DW252" t="s">
        <v>354</v>
      </c>
      <c r="DX252">
        <v>1</v>
      </c>
      <c r="EE252">
        <v>37975978</v>
      </c>
      <c r="EF252">
        <v>12</v>
      </c>
      <c r="EG252" t="s">
        <v>224</v>
      </c>
      <c r="EH252">
        <v>0</v>
      </c>
      <c r="EJ252">
        <v>2</v>
      </c>
      <c r="EK252">
        <v>500002</v>
      </c>
      <c r="EL252" t="s">
        <v>225</v>
      </c>
      <c r="EM252" t="s">
        <v>226</v>
      </c>
      <c r="EQ252">
        <v>0</v>
      </c>
      <c r="ER252">
        <v>585.72</v>
      </c>
      <c r="ES252">
        <v>585.72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FQ252">
        <v>0</v>
      </c>
      <c r="FR252">
        <f t="shared" si="203"/>
        <v>0</v>
      </c>
      <c r="FS252">
        <v>0</v>
      </c>
      <c r="FX252">
        <v>0</v>
      </c>
      <c r="FY252">
        <v>0</v>
      </c>
      <c r="GD252">
        <v>1</v>
      </c>
      <c r="GF252">
        <v>854093089</v>
      </c>
      <c r="GG252">
        <v>2</v>
      </c>
      <c r="GH252">
        <v>1</v>
      </c>
      <c r="GI252">
        <v>4</v>
      </c>
      <c r="GJ252">
        <v>0</v>
      </c>
      <c r="GK252">
        <v>0</v>
      </c>
      <c r="GL252">
        <f t="shared" si="204"/>
        <v>0</v>
      </c>
      <c r="GM252">
        <f t="shared" si="205"/>
        <v>585.72</v>
      </c>
      <c r="GN252">
        <f t="shared" si="206"/>
        <v>0</v>
      </c>
      <c r="GO252">
        <f t="shared" si="207"/>
        <v>585.72</v>
      </c>
      <c r="GP252">
        <f t="shared" si="208"/>
        <v>0</v>
      </c>
      <c r="GR252">
        <v>0</v>
      </c>
      <c r="GS252">
        <v>3</v>
      </c>
      <c r="GT252">
        <v>0</v>
      </c>
      <c r="GV252">
        <f t="shared" si="209"/>
        <v>0</v>
      </c>
      <c r="GW252">
        <v>1</v>
      </c>
      <c r="GX252">
        <f t="shared" si="210"/>
        <v>0</v>
      </c>
      <c r="HA252">
        <v>0</v>
      </c>
      <c r="HB252">
        <v>0</v>
      </c>
      <c r="HC252">
        <f t="shared" si="211"/>
        <v>0</v>
      </c>
      <c r="HI252">
        <f t="shared" si="212"/>
        <v>0</v>
      </c>
      <c r="HJ252">
        <f t="shared" si="213"/>
        <v>0</v>
      </c>
      <c r="HK252">
        <f t="shared" si="214"/>
        <v>0</v>
      </c>
      <c r="HL252">
        <f t="shared" si="215"/>
        <v>0</v>
      </c>
      <c r="IK252">
        <v>0</v>
      </c>
    </row>
    <row r="253" spans="1:245" ht="12.75">
      <c r="A253">
        <v>17</v>
      </c>
      <c r="B253">
        <v>1</v>
      </c>
      <c r="E253" t="s">
        <v>356</v>
      </c>
      <c r="F253" t="s">
        <v>357</v>
      </c>
      <c r="G253" t="s">
        <v>358</v>
      </c>
      <c r="H253" t="s">
        <v>354</v>
      </c>
      <c r="I253">
        <v>1</v>
      </c>
      <c r="J253">
        <v>0</v>
      </c>
      <c r="K253">
        <v>1</v>
      </c>
      <c r="O253">
        <f t="shared" si="182"/>
        <v>1279.07</v>
      </c>
      <c r="P253">
        <f>ROUND(CQ253*I253,2)</f>
        <v>1279.07</v>
      </c>
      <c r="Q253">
        <f t="shared" si="183"/>
        <v>0</v>
      </c>
      <c r="R253">
        <f t="shared" si="184"/>
        <v>0</v>
      </c>
      <c r="S253">
        <f t="shared" si="185"/>
        <v>0</v>
      </c>
      <c r="T253">
        <f t="shared" si="186"/>
        <v>0</v>
      </c>
      <c r="U253">
        <f t="shared" si="187"/>
        <v>0</v>
      </c>
      <c r="V253">
        <f t="shared" si="188"/>
        <v>0</v>
      </c>
      <c r="W253">
        <f t="shared" si="189"/>
        <v>0</v>
      </c>
      <c r="X253">
        <f t="shared" si="190"/>
        <v>0</v>
      </c>
      <c r="Y253">
        <f t="shared" si="190"/>
        <v>0</v>
      </c>
      <c r="AA253">
        <v>44571020</v>
      </c>
      <c r="AB253">
        <f t="shared" si="191"/>
        <v>1279.07</v>
      </c>
      <c r="AC253">
        <f t="shared" si="192"/>
        <v>1279.07</v>
      </c>
      <c r="AD253">
        <f t="shared" si="193"/>
        <v>0</v>
      </c>
      <c r="AE253">
        <f t="shared" si="194"/>
        <v>0</v>
      </c>
      <c r="AF253">
        <f t="shared" si="194"/>
        <v>0</v>
      </c>
      <c r="AG253">
        <f t="shared" si="195"/>
        <v>0</v>
      </c>
      <c r="AH253">
        <f t="shared" si="196"/>
        <v>0</v>
      </c>
      <c r="AI253">
        <f t="shared" si="196"/>
        <v>0</v>
      </c>
      <c r="AJ253">
        <f t="shared" si="197"/>
        <v>0</v>
      </c>
      <c r="AK253">
        <v>1279.07</v>
      </c>
      <c r="AL253">
        <v>1279.07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1</v>
      </c>
      <c r="AW253">
        <v>1</v>
      </c>
      <c r="AZ253">
        <v>1</v>
      </c>
      <c r="BA253">
        <v>1</v>
      </c>
      <c r="BB253">
        <v>1</v>
      </c>
      <c r="BC253">
        <v>1</v>
      </c>
      <c r="BH253">
        <v>3</v>
      </c>
      <c r="BI253">
        <v>2</v>
      </c>
      <c r="BJ253" t="s">
        <v>359</v>
      </c>
      <c r="BM253">
        <v>500002</v>
      </c>
      <c r="BN253">
        <v>0</v>
      </c>
      <c r="BP253">
        <v>0</v>
      </c>
      <c r="BQ253">
        <v>12</v>
      </c>
      <c r="BR253">
        <v>0</v>
      </c>
      <c r="BS253">
        <v>1</v>
      </c>
      <c r="BT253">
        <v>1</v>
      </c>
      <c r="BU253">
        <v>1</v>
      </c>
      <c r="BV253">
        <v>1</v>
      </c>
      <c r="BW253">
        <v>1</v>
      </c>
      <c r="BX253">
        <v>1</v>
      </c>
      <c r="BZ253">
        <v>0</v>
      </c>
      <c r="CA253">
        <v>0</v>
      </c>
      <c r="CE253">
        <v>0</v>
      </c>
      <c r="CF253">
        <v>0</v>
      </c>
      <c r="CG253">
        <v>0</v>
      </c>
      <c r="CM253">
        <v>0</v>
      </c>
      <c r="CO253">
        <v>0</v>
      </c>
      <c r="CP253">
        <f t="shared" si="198"/>
        <v>1279.07</v>
      </c>
      <c r="CQ253">
        <f>AC253*BC253</f>
        <v>1279.07</v>
      </c>
      <c r="CR253">
        <f t="shared" si="199"/>
        <v>0</v>
      </c>
      <c r="CS253">
        <f t="shared" si="200"/>
        <v>0</v>
      </c>
      <c r="CT253">
        <f t="shared" si="200"/>
        <v>0</v>
      </c>
      <c r="CU253">
        <f t="shared" si="200"/>
        <v>0</v>
      </c>
      <c r="CV253">
        <f t="shared" si="200"/>
        <v>0</v>
      </c>
      <c r="CW253">
        <f t="shared" si="200"/>
        <v>0</v>
      </c>
      <c r="CX253">
        <f t="shared" si="200"/>
        <v>0</v>
      </c>
      <c r="CY253">
        <f t="shared" si="201"/>
        <v>0</v>
      </c>
      <c r="CZ253">
        <f t="shared" si="202"/>
        <v>0</v>
      </c>
      <c r="DN253">
        <v>0</v>
      </c>
      <c r="DO253">
        <v>0</v>
      </c>
      <c r="DP253">
        <v>1</v>
      </c>
      <c r="DQ253">
        <v>1</v>
      </c>
      <c r="DU253">
        <v>1013</v>
      </c>
      <c r="DV253" t="s">
        <v>354</v>
      </c>
      <c r="DW253" t="s">
        <v>354</v>
      </c>
      <c r="DX253">
        <v>1</v>
      </c>
      <c r="EE253">
        <v>37975978</v>
      </c>
      <c r="EF253">
        <v>12</v>
      </c>
      <c r="EG253" t="s">
        <v>224</v>
      </c>
      <c r="EH253">
        <v>0</v>
      </c>
      <c r="EJ253">
        <v>2</v>
      </c>
      <c r="EK253">
        <v>500002</v>
      </c>
      <c r="EL253" t="s">
        <v>225</v>
      </c>
      <c r="EM253" t="s">
        <v>226</v>
      </c>
      <c r="EQ253">
        <v>0</v>
      </c>
      <c r="ER253">
        <v>1279.07</v>
      </c>
      <c r="ES253">
        <v>1279.07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FQ253">
        <v>0</v>
      </c>
      <c r="FR253">
        <f t="shared" si="203"/>
        <v>0</v>
      </c>
      <c r="FS253">
        <v>0</v>
      </c>
      <c r="FX253">
        <v>0</v>
      </c>
      <c r="FY253">
        <v>0</v>
      </c>
      <c r="GD253">
        <v>1</v>
      </c>
      <c r="GF253">
        <v>-238091268</v>
      </c>
      <c r="GG253">
        <v>2</v>
      </c>
      <c r="GH253">
        <v>1</v>
      </c>
      <c r="GI253">
        <v>4</v>
      </c>
      <c r="GJ253">
        <v>0</v>
      </c>
      <c r="GK253">
        <v>0</v>
      </c>
      <c r="GL253">
        <f t="shared" si="204"/>
        <v>0</v>
      </c>
      <c r="GM253">
        <f t="shared" si="205"/>
        <v>1279.07</v>
      </c>
      <c r="GN253">
        <f t="shared" si="206"/>
        <v>0</v>
      </c>
      <c r="GO253">
        <f t="shared" si="207"/>
        <v>1279.07</v>
      </c>
      <c r="GP253">
        <f t="shared" si="208"/>
        <v>0</v>
      </c>
      <c r="GR253">
        <v>0</v>
      </c>
      <c r="GS253">
        <v>3</v>
      </c>
      <c r="GT253">
        <v>0</v>
      </c>
      <c r="GV253">
        <f t="shared" si="209"/>
        <v>0</v>
      </c>
      <c r="GW253">
        <v>1</v>
      </c>
      <c r="GX253">
        <f t="shared" si="210"/>
        <v>0</v>
      </c>
      <c r="HA253">
        <v>0</v>
      </c>
      <c r="HB253">
        <v>0</v>
      </c>
      <c r="HC253">
        <f t="shared" si="211"/>
        <v>0</v>
      </c>
      <c r="HI253">
        <f t="shared" si="212"/>
        <v>0</v>
      </c>
      <c r="HJ253">
        <f t="shared" si="213"/>
        <v>0</v>
      </c>
      <c r="HK253">
        <f t="shared" si="214"/>
        <v>0</v>
      </c>
      <c r="HL253">
        <f t="shared" si="215"/>
        <v>0</v>
      </c>
      <c r="IK253">
        <v>0</v>
      </c>
    </row>
    <row r="254" spans="1:245" ht="12.75">
      <c r="A254">
        <v>17</v>
      </c>
      <c r="B254">
        <v>1</v>
      </c>
      <c r="E254" t="s">
        <v>360</v>
      </c>
      <c r="F254" t="s">
        <v>300</v>
      </c>
      <c r="G254" t="s">
        <v>361</v>
      </c>
      <c r="H254" t="s">
        <v>362</v>
      </c>
      <c r="I254">
        <f>ROUND(ROUND(6,4),7)</f>
        <v>6</v>
      </c>
      <c r="J254">
        <v>0</v>
      </c>
      <c r="K254">
        <f>ROUND(ROUND(6,4),7)</f>
        <v>6</v>
      </c>
      <c r="O254">
        <f t="shared" si="182"/>
        <v>730.29</v>
      </c>
      <c r="P254">
        <f>ROUND(ROUND(CQ254*I254,2)/BC254,2)</f>
        <v>730.29</v>
      </c>
      <c r="Q254">
        <f t="shared" si="183"/>
        <v>0</v>
      </c>
      <c r="R254">
        <f t="shared" si="184"/>
        <v>0</v>
      </c>
      <c r="S254">
        <f t="shared" si="185"/>
        <v>0</v>
      </c>
      <c r="T254">
        <f t="shared" si="186"/>
        <v>0</v>
      </c>
      <c r="U254">
        <f t="shared" si="187"/>
        <v>0</v>
      </c>
      <c r="V254">
        <f t="shared" si="188"/>
        <v>0</v>
      </c>
      <c r="W254">
        <f t="shared" si="189"/>
        <v>0</v>
      </c>
      <c r="X254">
        <f t="shared" si="190"/>
        <v>0</v>
      </c>
      <c r="Y254">
        <f t="shared" si="190"/>
        <v>0</v>
      </c>
      <c r="AA254">
        <v>44571020</v>
      </c>
      <c r="AB254">
        <f t="shared" si="191"/>
        <v>626.83</v>
      </c>
      <c r="AC254">
        <f t="shared" si="192"/>
        <v>626.83</v>
      </c>
      <c r="AD254">
        <f t="shared" si="193"/>
        <v>0</v>
      </c>
      <c r="AE254">
        <f t="shared" si="194"/>
        <v>0</v>
      </c>
      <c r="AF254">
        <f t="shared" si="194"/>
        <v>0</v>
      </c>
      <c r="AG254">
        <f t="shared" si="195"/>
        <v>0</v>
      </c>
      <c r="AH254">
        <f t="shared" si="196"/>
        <v>0</v>
      </c>
      <c r="AI254">
        <f t="shared" si="196"/>
        <v>0</v>
      </c>
      <c r="AJ254">
        <f t="shared" si="197"/>
        <v>0</v>
      </c>
      <c r="AK254">
        <v>626.8299999999999</v>
      </c>
      <c r="AL254">
        <v>626.8299999999999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1</v>
      </c>
      <c r="AW254">
        <v>1</v>
      </c>
      <c r="AZ254">
        <v>1</v>
      </c>
      <c r="BA254">
        <v>1</v>
      </c>
      <c r="BB254">
        <v>1</v>
      </c>
      <c r="BC254">
        <v>5.15</v>
      </c>
      <c r="BH254">
        <v>3</v>
      </c>
      <c r="BI254">
        <v>2</v>
      </c>
      <c r="BM254">
        <v>500004</v>
      </c>
      <c r="BN254">
        <v>0</v>
      </c>
      <c r="BP254">
        <v>0</v>
      </c>
      <c r="BQ254">
        <v>14</v>
      </c>
      <c r="BR254">
        <v>0</v>
      </c>
      <c r="BS254">
        <v>1</v>
      </c>
      <c r="BT254">
        <v>1</v>
      </c>
      <c r="BU254">
        <v>1</v>
      </c>
      <c r="BV254">
        <v>1</v>
      </c>
      <c r="BW254">
        <v>1</v>
      </c>
      <c r="BX254">
        <v>1</v>
      </c>
      <c r="BZ254">
        <v>0</v>
      </c>
      <c r="CA254">
        <v>0</v>
      </c>
      <c r="CE254">
        <v>0</v>
      </c>
      <c r="CF254">
        <v>0</v>
      </c>
      <c r="CG254">
        <v>0</v>
      </c>
      <c r="CM254">
        <v>0</v>
      </c>
      <c r="CO254">
        <v>0</v>
      </c>
      <c r="CP254">
        <f t="shared" si="198"/>
        <v>730.29</v>
      </c>
      <c r="CQ254">
        <f>AC254</f>
        <v>626.83</v>
      </c>
      <c r="CR254">
        <f t="shared" si="199"/>
        <v>0</v>
      </c>
      <c r="CS254">
        <f t="shared" si="200"/>
        <v>0</v>
      </c>
      <c r="CT254">
        <f t="shared" si="200"/>
        <v>0</v>
      </c>
      <c r="CU254">
        <f t="shared" si="200"/>
        <v>0</v>
      </c>
      <c r="CV254">
        <f t="shared" si="200"/>
        <v>0</v>
      </c>
      <c r="CW254">
        <f t="shared" si="200"/>
        <v>0</v>
      </c>
      <c r="CX254">
        <f t="shared" si="200"/>
        <v>0</v>
      </c>
      <c r="CY254">
        <f t="shared" si="201"/>
        <v>0</v>
      </c>
      <c r="CZ254">
        <f t="shared" si="202"/>
        <v>0</v>
      </c>
      <c r="DN254">
        <v>0</v>
      </c>
      <c r="DO254">
        <v>0</v>
      </c>
      <c r="DP254">
        <v>1</v>
      </c>
      <c r="DQ254">
        <v>1</v>
      </c>
      <c r="DU254">
        <v>1013</v>
      </c>
      <c r="DV254" t="s">
        <v>362</v>
      </c>
      <c r="DW254" t="s">
        <v>362</v>
      </c>
      <c r="DX254">
        <v>1</v>
      </c>
      <c r="EE254">
        <v>37976239</v>
      </c>
      <c r="EF254">
        <v>14</v>
      </c>
      <c r="EG254" t="s">
        <v>301</v>
      </c>
      <c r="EH254">
        <v>0</v>
      </c>
      <c r="EJ254">
        <v>2</v>
      </c>
      <c r="EK254">
        <v>500004</v>
      </c>
      <c r="EL254" t="s">
        <v>302</v>
      </c>
      <c r="EM254" t="s">
        <v>303</v>
      </c>
      <c r="EQ254">
        <v>0</v>
      </c>
      <c r="ER254">
        <v>626.8299999999999</v>
      </c>
      <c r="ES254">
        <v>626.8299999999999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5</v>
      </c>
      <c r="FC254">
        <v>1</v>
      </c>
      <c r="FD254">
        <v>18</v>
      </c>
      <c r="FF254">
        <v>699</v>
      </c>
      <c r="FQ254">
        <v>0</v>
      </c>
      <c r="FR254">
        <f t="shared" si="203"/>
        <v>0</v>
      </c>
      <c r="FS254">
        <v>0</v>
      </c>
      <c r="FX254">
        <v>0</v>
      </c>
      <c r="FY254">
        <v>0</v>
      </c>
      <c r="GA254" t="s">
        <v>363</v>
      </c>
      <c r="GD254">
        <v>1</v>
      </c>
      <c r="GF254">
        <v>-1341662382</v>
      </c>
      <c r="GG254">
        <v>2</v>
      </c>
      <c r="GH254">
        <v>3</v>
      </c>
      <c r="GI254">
        <v>4</v>
      </c>
      <c r="GJ254">
        <v>0</v>
      </c>
      <c r="GK254">
        <v>0</v>
      </c>
      <c r="GL254">
        <f t="shared" si="204"/>
        <v>0</v>
      </c>
      <c r="GM254">
        <f t="shared" si="205"/>
        <v>730.29</v>
      </c>
      <c r="GN254">
        <f t="shared" si="206"/>
        <v>0</v>
      </c>
      <c r="GO254">
        <f t="shared" si="207"/>
        <v>730.29</v>
      </c>
      <c r="GP254">
        <f t="shared" si="208"/>
        <v>0</v>
      </c>
      <c r="GR254">
        <v>1</v>
      </c>
      <c r="GS254">
        <v>1</v>
      </c>
      <c r="GT254">
        <v>0</v>
      </c>
      <c r="GV254">
        <f t="shared" si="209"/>
        <v>0</v>
      </c>
      <c r="GW254">
        <v>1</v>
      </c>
      <c r="GX254">
        <f t="shared" si="210"/>
        <v>0</v>
      </c>
      <c r="HA254">
        <v>0</v>
      </c>
      <c r="HB254">
        <v>0</v>
      </c>
      <c r="HC254">
        <f t="shared" si="211"/>
        <v>0</v>
      </c>
      <c r="HE254" t="s">
        <v>341</v>
      </c>
      <c r="HF254" t="s">
        <v>28</v>
      </c>
      <c r="HG254">
        <f>ROUND(AC254*I254,2)</f>
        <v>3760.98</v>
      </c>
      <c r="HI254">
        <f t="shared" si="212"/>
        <v>0</v>
      </c>
      <c r="HJ254">
        <f t="shared" si="213"/>
        <v>0</v>
      </c>
      <c r="HK254">
        <f t="shared" si="214"/>
        <v>0</v>
      </c>
      <c r="HL254">
        <f t="shared" si="215"/>
        <v>0</v>
      </c>
      <c r="IK254">
        <v>0</v>
      </c>
    </row>
    <row r="255" spans="1:245" ht="12.75">
      <c r="A255">
        <v>17</v>
      </c>
      <c r="B255">
        <v>1</v>
      </c>
      <c r="E255" t="s">
        <v>364</v>
      </c>
      <c r="F255" t="s">
        <v>365</v>
      </c>
      <c r="G255" t="s">
        <v>366</v>
      </c>
      <c r="H255" t="s">
        <v>348</v>
      </c>
      <c r="I255">
        <v>3</v>
      </c>
      <c r="J255">
        <v>0</v>
      </c>
      <c r="K255">
        <v>3</v>
      </c>
      <c r="O255">
        <f t="shared" si="182"/>
        <v>142.65</v>
      </c>
      <c r="P255">
        <f>ROUND(CQ255*I255,2)</f>
        <v>142.65</v>
      </c>
      <c r="Q255">
        <f t="shared" si="183"/>
        <v>0</v>
      </c>
      <c r="R255">
        <f t="shared" si="184"/>
        <v>0</v>
      </c>
      <c r="S255">
        <f t="shared" si="185"/>
        <v>0</v>
      </c>
      <c r="T255">
        <f t="shared" si="186"/>
        <v>0</v>
      </c>
      <c r="U255">
        <f t="shared" si="187"/>
        <v>0</v>
      </c>
      <c r="V255">
        <f t="shared" si="188"/>
        <v>0</v>
      </c>
      <c r="W255">
        <f t="shared" si="189"/>
        <v>0</v>
      </c>
      <c r="X255">
        <f t="shared" si="190"/>
        <v>0</v>
      </c>
      <c r="Y255">
        <f t="shared" si="190"/>
        <v>0</v>
      </c>
      <c r="AA255">
        <v>44571020</v>
      </c>
      <c r="AB255">
        <f t="shared" si="191"/>
        <v>47.55</v>
      </c>
      <c r="AC255">
        <f t="shared" si="192"/>
        <v>47.55</v>
      </c>
      <c r="AD255">
        <f t="shared" si="193"/>
        <v>0</v>
      </c>
      <c r="AE255">
        <f t="shared" si="194"/>
        <v>0</v>
      </c>
      <c r="AF255">
        <f t="shared" si="194"/>
        <v>0</v>
      </c>
      <c r="AG255">
        <f t="shared" si="195"/>
        <v>0</v>
      </c>
      <c r="AH255">
        <f t="shared" si="196"/>
        <v>0</v>
      </c>
      <c r="AI255">
        <f t="shared" si="196"/>
        <v>0</v>
      </c>
      <c r="AJ255">
        <f t="shared" si="197"/>
        <v>0</v>
      </c>
      <c r="AK255">
        <v>47.55</v>
      </c>
      <c r="AL255">
        <v>47.55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1</v>
      </c>
      <c r="AW255">
        <v>1</v>
      </c>
      <c r="AZ255">
        <v>1</v>
      </c>
      <c r="BA255">
        <v>1</v>
      </c>
      <c r="BB255">
        <v>1</v>
      </c>
      <c r="BC255">
        <v>1</v>
      </c>
      <c r="BH255">
        <v>3</v>
      </c>
      <c r="BI255">
        <v>2</v>
      </c>
      <c r="BJ255" t="s">
        <v>367</v>
      </c>
      <c r="BM255">
        <v>500002</v>
      </c>
      <c r="BN255">
        <v>0</v>
      </c>
      <c r="BP255">
        <v>0</v>
      </c>
      <c r="BQ255">
        <v>12</v>
      </c>
      <c r="BR255">
        <v>0</v>
      </c>
      <c r="BS255">
        <v>1</v>
      </c>
      <c r="BT255">
        <v>1</v>
      </c>
      <c r="BU255">
        <v>1</v>
      </c>
      <c r="BV255">
        <v>1</v>
      </c>
      <c r="BW255">
        <v>1</v>
      </c>
      <c r="BX255">
        <v>1</v>
      </c>
      <c r="BZ255">
        <v>0</v>
      </c>
      <c r="CA255">
        <v>0</v>
      </c>
      <c r="CE255">
        <v>0</v>
      </c>
      <c r="CF255">
        <v>0</v>
      </c>
      <c r="CG255">
        <v>0</v>
      </c>
      <c r="CM255">
        <v>0</v>
      </c>
      <c r="CO255">
        <v>0</v>
      </c>
      <c r="CP255">
        <f t="shared" si="198"/>
        <v>142.65</v>
      </c>
      <c r="CQ255">
        <f>AC255*BC255</f>
        <v>47.55</v>
      </c>
      <c r="CR255">
        <f t="shared" si="199"/>
        <v>0</v>
      </c>
      <c r="CS255">
        <f t="shared" si="200"/>
        <v>0</v>
      </c>
      <c r="CT255">
        <f t="shared" si="200"/>
        <v>0</v>
      </c>
      <c r="CU255">
        <f t="shared" si="200"/>
        <v>0</v>
      </c>
      <c r="CV255">
        <f t="shared" si="200"/>
        <v>0</v>
      </c>
      <c r="CW255">
        <f t="shared" si="200"/>
        <v>0</v>
      </c>
      <c r="CX255">
        <f t="shared" si="200"/>
        <v>0</v>
      </c>
      <c r="CY255">
        <f t="shared" si="201"/>
        <v>0</v>
      </c>
      <c r="CZ255">
        <f t="shared" si="202"/>
        <v>0</v>
      </c>
      <c r="DN255">
        <v>0</v>
      </c>
      <c r="DO255">
        <v>0</v>
      </c>
      <c r="DP255">
        <v>1</v>
      </c>
      <c r="DQ255">
        <v>1</v>
      </c>
      <c r="DU255">
        <v>1010</v>
      </c>
      <c r="DV255" t="s">
        <v>348</v>
      </c>
      <c r="DW255" t="s">
        <v>348</v>
      </c>
      <c r="DX255">
        <v>1</v>
      </c>
      <c r="EE255">
        <v>37975978</v>
      </c>
      <c r="EF255">
        <v>12</v>
      </c>
      <c r="EG255" t="s">
        <v>224</v>
      </c>
      <c r="EH255">
        <v>0</v>
      </c>
      <c r="EJ255">
        <v>2</v>
      </c>
      <c r="EK255">
        <v>500002</v>
      </c>
      <c r="EL255" t="s">
        <v>225</v>
      </c>
      <c r="EM255" t="s">
        <v>226</v>
      </c>
      <c r="EQ255">
        <v>0</v>
      </c>
      <c r="ER255">
        <v>47.55</v>
      </c>
      <c r="ES255">
        <v>47.55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FQ255">
        <v>0</v>
      </c>
      <c r="FR255">
        <f t="shared" si="203"/>
        <v>0</v>
      </c>
      <c r="FS255">
        <v>0</v>
      </c>
      <c r="FX255">
        <v>0</v>
      </c>
      <c r="FY255">
        <v>0</v>
      </c>
      <c r="GD255">
        <v>1</v>
      </c>
      <c r="GF255">
        <v>-1768058086</v>
      </c>
      <c r="GG255">
        <v>2</v>
      </c>
      <c r="GH255">
        <v>1</v>
      </c>
      <c r="GI255">
        <v>4</v>
      </c>
      <c r="GJ255">
        <v>0</v>
      </c>
      <c r="GK255">
        <v>0</v>
      </c>
      <c r="GL255">
        <f t="shared" si="204"/>
        <v>0</v>
      </c>
      <c r="GM255">
        <f t="shared" si="205"/>
        <v>142.65</v>
      </c>
      <c r="GN255">
        <f t="shared" si="206"/>
        <v>0</v>
      </c>
      <c r="GO255">
        <f t="shared" si="207"/>
        <v>142.65</v>
      </c>
      <c r="GP255">
        <f t="shared" si="208"/>
        <v>0</v>
      </c>
      <c r="GR255">
        <v>0</v>
      </c>
      <c r="GS255">
        <v>3</v>
      </c>
      <c r="GT255">
        <v>0</v>
      </c>
      <c r="GV255">
        <f t="shared" si="209"/>
        <v>0</v>
      </c>
      <c r="GW255">
        <v>1</v>
      </c>
      <c r="GX255">
        <f t="shared" si="210"/>
        <v>0</v>
      </c>
      <c r="HA255">
        <v>0</v>
      </c>
      <c r="HB255">
        <v>0</v>
      </c>
      <c r="HC255">
        <f t="shared" si="211"/>
        <v>0</v>
      </c>
      <c r="HI255">
        <f t="shared" si="212"/>
        <v>0</v>
      </c>
      <c r="HJ255">
        <f t="shared" si="213"/>
        <v>0</v>
      </c>
      <c r="HK255">
        <f t="shared" si="214"/>
        <v>0</v>
      </c>
      <c r="HL255">
        <f t="shared" si="215"/>
        <v>0</v>
      </c>
      <c r="IK255">
        <v>0</v>
      </c>
    </row>
    <row r="257" spans="1:206" ht="12.75">
      <c r="A257" s="2">
        <v>51</v>
      </c>
      <c r="B257" s="2">
        <f>B245</f>
        <v>1</v>
      </c>
      <c r="C257" s="2">
        <f>A245</f>
        <v>4</v>
      </c>
      <c r="D257" s="2">
        <f>ROW(A245)</f>
        <v>245</v>
      </c>
      <c r="E257" s="2"/>
      <c r="F257" s="2" t="str">
        <f>IF(F245&lt;&gt;"",F245,"")</f>
        <v>Новый раздел</v>
      </c>
      <c r="G257" s="2" t="str">
        <f>IF(G245&lt;&gt;"",G245,"")</f>
        <v>Материалы</v>
      </c>
      <c r="H257" s="2">
        <v>0</v>
      </c>
      <c r="I257" s="2"/>
      <c r="J257" s="2"/>
      <c r="K257" s="2"/>
      <c r="L257" s="2"/>
      <c r="M257" s="2"/>
      <c r="N257" s="2"/>
      <c r="O257" s="2">
        <f aca="true" t="shared" si="216" ref="O257:T257">ROUND(AB257,2)</f>
        <v>35074.26</v>
      </c>
      <c r="P257" s="2">
        <f t="shared" si="216"/>
        <v>35074.26</v>
      </c>
      <c r="Q257" s="2">
        <f t="shared" si="216"/>
        <v>0</v>
      </c>
      <c r="R257" s="2">
        <f t="shared" si="216"/>
        <v>0</v>
      </c>
      <c r="S257" s="2">
        <f t="shared" si="216"/>
        <v>0</v>
      </c>
      <c r="T257" s="2">
        <f t="shared" si="216"/>
        <v>0</v>
      </c>
      <c r="U257" s="2">
        <f>AH257</f>
        <v>0</v>
      </c>
      <c r="V257" s="2">
        <f>AI257</f>
        <v>0</v>
      </c>
      <c r="W257" s="2">
        <f>ROUND(AJ257,2)</f>
        <v>0</v>
      </c>
      <c r="X257" s="2">
        <f>ROUND(AK257,2)</f>
        <v>0</v>
      </c>
      <c r="Y257" s="2">
        <f>ROUND(AL257,2)</f>
        <v>0</v>
      </c>
      <c r="Z257" s="2"/>
      <c r="AA257" s="2"/>
      <c r="AB257" s="2">
        <f>ROUND(SUMIF(AA249:AA255,"=44571020",O249:O255),2)</f>
        <v>35074.26</v>
      </c>
      <c r="AC257" s="2">
        <f>ROUND(SUMIF(AA249:AA255,"=44571020",P249:P255),2)</f>
        <v>35074.26</v>
      </c>
      <c r="AD257" s="2">
        <f>ROUND(SUMIF(AA249:AA255,"=44571020",Q249:Q255),2)</f>
        <v>0</v>
      </c>
      <c r="AE257" s="2">
        <f>ROUND(SUMIF(AA249:AA255,"=44571020",R249:R255),2)</f>
        <v>0</v>
      </c>
      <c r="AF257" s="2">
        <f>ROUND(SUMIF(AA249:AA255,"=44571020",S249:S255),2)</f>
        <v>0</v>
      </c>
      <c r="AG257" s="2">
        <f>ROUND(SUMIF(AA249:AA255,"=44571020",T249:T255),2)</f>
        <v>0</v>
      </c>
      <c r="AH257" s="2">
        <f>SUMIF(AA249:AA255,"=44571020",U249:U255)</f>
        <v>0</v>
      </c>
      <c r="AI257" s="2">
        <f>SUMIF(AA249:AA255,"=44571020",V249:V255)</f>
        <v>0</v>
      </c>
      <c r="AJ257" s="2">
        <f>ROUND(SUMIF(AA249:AA255,"=44571020",W249:W255),2)</f>
        <v>0</v>
      </c>
      <c r="AK257" s="2">
        <f>ROUND(SUMIF(AA249:AA255,"=44571020",X249:X255),2)</f>
        <v>0</v>
      </c>
      <c r="AL257" s="2">
        <f>ROUND(SUMIF(AA249:AA255,"=44571020",Y249:Y255),2)</f>
        <v>0</v>
      </c>
      <c r="AM257" s="2"/>
      <c r="AN257" s="2"/>
      <c r="AO257" s="2">
        <f aca="true" t="shared" si="217" ref="AO257:BD257">ROUND(BX257,2)</f>
        <v>0</v>
      </c>
      <c r="AP257" s="2">
        <f t="shared" si="217"/>
        <v>0</v>
      </c>
      <c r="AQ257" s="2">
        <f t="shared" si="217"/>
        <v>0</v>
      </c>
      <c r="AR257" s="2">
        <f t="shared" si="217"/>
        <v>35074.26</v>
      </c>
      <c r="AS257" s="2">
        <f t="shared" si="217"/>
        <v>714.62</v>
      </c>
      <c r="AT257" s="2">
        <f t="shared" si="217"/>
        <v>34359.64</v>
      </c>
      <c r="AU257" s="2">
        <f t="shared" si="217"/>
        <v>0</v>
      </c>
      <c r="AV257" s="2">
        <f t="shared" si="217"/>
        <v>35074.26</v>
      </c>
      <c r="AW257" s="2">
        <f t="shared" si="217"/>
        <v>35074.26</v>
      </c>
      <c r="AX257" s="2">
        <f t="shared" si="217"/>
        <v>0</v>
      </c>
      <c r="AY257" s="2">
        <f t="shared" si="217"/>
        <v>35074.26</v>
      </c>
      <c r="AZ257" s="2">
        <f t="shared" si="217"/>
        <v>0</v>
      </c>
      <c r="BA257" s="2">
        <f t="shared" si="217"/>
        <v>0</v>
      </c>
      <c r="BB257" s="2">
        <f t="shared" si="217"/>
        <v>0</v>
      </c>
      <c r="BC257" s="2">
        <f t="shared" si="217"/>
        <v>0</v>
      </c>
      <c r="BD257" s="2">
        <f t="shared" si="217"/>
        <v>0</v>
      </c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>
        <f>ROUND(SUMIF(AA249:AA255,"=44571020",FQ249:FQ255),2)</f>
        <v>0</v>
      </c>
      <c r="BY257" s="2">
        <f>ROUND(SUMIF(AA249:AA255,"=44571020",FR249:FR255),2)</f>
        <v>0</v>
      </c>
      <c r="BZ257" s="2">
        <f>ROUND(SUMIF(AA249:AA255,"=44571020",GL249:GL255),2)</f>
        <v>0</v>
      </c>
      <c r="CA257" s="2">
        <f>ROUND(SUMIF(AA249:AA255,"=44571020",GM249:GM255),2)</f>
        <v>35074.26</v>
      </c>
      <c r="CB257" s="2">
        <f>ROUND(SUMIF(AA249:AA255,"=44571020",GN249:GN255),2)</f>
        <v>714.62</v>
      </c>
      <c r="CC257" s="2">
        <f>ROUND(SUMIF(AA249:AA255,"=44571020",GO249:GO255),2)</f>
        <v>34359.64</v>
      </c>
      <c r="CD257" s="2">
        <f>ROUND(SUMIF(AA249:AA255,"=44571020",GP249:GP255),2)</f>
        <v>0</v>
      </c>
      <c r="CE257" s="2">
        <f>AC257-BX257</f>
        <v>35074.26</v>
      </c>
      <c r="CF257" s="2">
        <f>AC257-BY257</f>
        <v>35074.26</v>
      </c>
      <c r="CG257" s="2">
        <f>BX257-BZ257</f>
        <v>0</v>
      </c>
      <c r="CH257" s="2">
        <f>AC257-BX257-BY257+BZ257</f>
        <v>35074.26</v>
      </c>
      <c r="CI257" s="2">
        <f>BY257-BZ257</f>
        <v>0</v>
      </c>
      <c r="CJ257" s="2">
        <f>ROUND(SUMIF(AA249:AA255,"=44571020",GX249:GX255),2)</f>
        <v>0</v>
      </c>
      <c r="CK257" s="2">
        <f>ROUND(SUMIF(AA249:AA255,"=44571020",GY249:GY255),2)</f>
        <v>0</v>
      </c>
      <c r="CL257" s="2">
        <f>ROUND(SUMIF(AA249:AA255,"=44571020",GZ249:GZ255),2)</f>
        <v>0</v>
      </c>
      <c r="CM257" s="2">
        <f>ROUND(SUMIF(AA249:AA255,"=44571020",HD249:HD255),2)</f>
        <v>0</v>
      </c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>
        <v>0</v>
      </c>
    </row>
    <row r="259" spans="1:28" ht="12.75">
      <c r="A259" s="4">
        <v>50</v>
      </c>
      <c r="B259" s="4">
        <v>0</v>
      </c>
      <c r="C259" s="4">
        <v>0</v>
      </c>
      <c r="D259" s="4">
        <v>1</v>
      </c>
      <c r="E259" s="4">
        <v>0</v>
      </c>
      <c r="F259" s="4">
        <f>ROUND(Source!O257,O259)</f>
        <v>35074.26</v>
      </c>
      <c r="G259" s="4" t="s">
        <v>95</v>
      </c>
      <c r="H259" s="4" t="s">
        <v>96</v>
      </c>
      <c r="I259" s="4"/>
      <c r="J259" s="4"/>
      <c r="K259" s="4">
        <v>201</v>
      </c>
      <c r="L259" s="4">
        <v>1</v>
      </c>
      <c r="M259" s="4">
        <v>3</v>
      </c>
      <c r="N259" s="4" t="s">
        <v>3</v>
      </c>
      <c r="O259" s="4">
        <v>2</v>
      </c>
      <c r="P259" s="4"/>
      <c r="Q259" s="4"/>
      <c r="R259" s="4"/>
      <c r="S259" s="4"/>
      <c r="T259" s="4"/>
      <c r="U259" s="4"/>
      <c r="V259" s="4"/>
      <c r="W259" s="4">
        <v>35074.26</v>
      </c>
      <c r="X259" s="4">
        <v>1</v>
      </c>
      <c r="Y259" s="4">
        <v>180632.44</v>
      </c>
      <c r="Z259" s="4"/>
      <c r="AA259" s="4"/>
      <c r="AB259" s="4"/>
    </row>
    <row r="260" spans="1:28" ht="12.75">
      <c r="A260" s="4">
        <v>50</v>
      </c>
      <c r="B260" s="4">
        <v>0</v>
      </c>
      <c r="C260" s="4">
        <v>0</v>
      </c>
      <c r="D260" s="4">
        <v>1</v>
      </c>
      <c r="E260" s="4">
        <v>202</v>
      </c>
      <c r="F260" s="4">
        <f>ROUND(Source!P257,O260)</f>
        <v>35074.26</v>
      </c>
      <c r="G260" s="4" t="s">
        <v>97</v>
      </c>
      <c r="H260" s="4" t="s">
        <v>98</v>
      </c>
      <c r="I260" s="4"/>
      <c r="J260" s="4"/>
      <c r="K260" s="4">
        <v>202</v>
      </c>
      <c r="L260" s="4">
        <v>2</v>
      </c>
      <c r="M260" s="4">
        <v>3</v>
      </c>
      <c r="N260" s="4" t="s">
        <v>3</v>
      </c>
      <c r="O260" s="4">
        <v>2</v>
      </c>
      <c r="P260" s="4"/>
      <c r="Q260" s="4"/>
      <c r="R260" s="4"/>
      <c r="S260" s="4"/>
      <c r="T260" s="4"/>
      <c r="U260" s="4"/>
      <c r="V260" s="4"/>
      <c r="W260" s="4">
        <v>35074.26</v>
      </c>
      <c r="X260" s="4">
        <v>1</v>
      </c>
      <c r="Y260" s="4">
        <v>0</v>
      </c>
      <c r="Z260" s="4"/>
      <c r="AA260" s="4"/>
      <c r="AB260" s="4"/>
    </row>
    <row r="261" spans="1:28" ht="12.75">
      <c r="A261" s="4">
        <v>50</v>
      </c>
      <c r="B261" s="4">
        <v>0</v>
      </c>
      <c r="C261" s="4">
        <v>0</v>
      </c>
      <c r="D261" s="4">
        <v>1</v>
      </c>
      <c r="E261" s="4">
        <v>222</v>
      </c>
      <c r="F261" s="4">
        <f>ROUND(Source!AO257,O261)</f>
        <v>0</v>
      </c>
      <c r="G261" s="4" t="s">
        <v>99</v>
      </c>
      <c r="H261" s="4" t="s">
        <v>100</v>
      </c>
      <c r="I261" s="4"/>
      <c r="J261" s="4"/>
      <c r="K261" s="4">
        <v>222</v>
      </c>
      <c r="L261" s="4">
        <v>3</v>
      </c>
      <c r="M261" s="4">
        <v>3</v>
      </c>
      <c r="N261" s="4" t="s">
        <v>3</v>
      </c>
      <c r="O261" s="4">
        <v>2</v>
      </c>
      <c r="P261" s="4"/>
      <c r="Q261" s="4"/>
      <c r="R261" s="4"/>
      <c r="S261" s="4"/>
      <c r="T261" s="4"/>
      <c r="U261" s="4"/>
      <c r="V261" s="4"/>
      <c r="W261" s="4">
        <v>0</v>
      </c>
      <c r="X261" s="4">
        <v>1</v>
      </c>
      <c r="Y261" s="4">
        <v>0</v>
      </c>
      <c r="Z261" s="4"/>
      <c r="AA261" s="4"/>
      <c r="AB261" s="4"/>
    </row>
    <row r="262" spans="1:28" ht="12.75">
      <c r="A262" s="4">
        <v>50</v>
      </c>
      <c r="B262" s="4">
        <v>0</v>
      </c>
      <c r="C262" s="4">
        <v>0</v>
      </c>
      <c r="D262" s="4">
        <v>1</v>
      </c>
      <c r="E262" s="4">
        <v>225</v>
      </c>
      <c r="F262" s="4">
        <f>ROUND(Source!AV257,O262)</f>
        <v>35074.26</v>
      </c>
      <c r="G262" s="4" t="s">
        <v>101</v>
      </c>
      <c r="H262" s="4" t="s">
        <v>102</v>
      </c>
      <c r="I262" s="4"/>
      <c r="J262" s="4"/>
      <c r="K262" s="4">
        <v>225</v>
      </c>
      <c r="L262" s="4">
        <v>4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>
        <v>35074.26</v>
      </c>
      <c r="X262" s="4">
        <v>1</v>
      </c>
      <c r="Y262" s="4">
        <v>0</v>
      </c>
      <c r="Z262" s="4"/>
      <c r="AA262" s="4"/>
      <c r="AB262" s="4"/>
    </row>
    <row r="263" spans="1:28" ht="12.75">
      <c r="A263" s="4">
        <v>50</v>
      </c>
      <c r="B263" s="4">
        <v>0</v>
      </c>
      <c r="C263" s="4">
        <v>0</v>
      </c>
      <c r="D263" s="4">
        <v>1</v>
      </c>
      <c r="E263" s="4">
        <v>226</v>
      </c>
      <c r="F263" s="4">
        <f>ROUND(Source!AW257,O263)</f>
        <v>35074.26</v>
      </c>
      <c r="G263" s="4" t="s">
        <v>103</v>
      </c>
      <c r="H263" s="4" t="s">
        <v>104</v>
      </c>
      <c r="I263" s="4"/>
      <c r="J263" s="4"/>
      <c r="K263" s="4">
        <v>226</v>
      </c>
      <c r="L263" s="4">
        <v>5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>
        <v>35074.26</v>
      </c>
      <c r="X263" s="4">
        <v>1</v>
      </c>
      <c r="Y263" s="4">
        <v>180632.44</v>
      </c>
      <c r="Z263" s="4"/>
      <c r="AA263" s="4"/>
      <c r="AB263" s="4"/>
    </row>
    <row r="264" spans="1:28" ht="12.75">
      <c r="A264" s="4">
        <v>50</v>
      </c>
      <c r="B264" s="4">
        <v>0</v>
      </c>
      <c r="C264" s="4">
        <v>0</v>
      </c>
      <c r="D264" s="4">
        <v>1</v>
      </c>
      <c r="E264" s="4">
        <v>227</v>
      </c>
      <c r="F264" s="4">
        <f>ROUND(Source!AX257,O264)</f>
        <v>0</v>
      </c>
      <c r="G264" s="4" t="s">
        <v>105</v>
      </c>
      <c r="H264" s="4" t="s">
        <v>106</v>
      </c>
      <c r="I264" s="4"/>
      <c r="J264" s="4"/>
      <c r="K264" s="4">
        <v>227</v>
      </c>
      <c r="L264" s="4">
        <v>6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>
        <v>0</v>
      </c>
      <c r="X264" s="4">
        <v>1</v>
      </c>
      <c r="Y264" s="4">
        <v>0</v>
      </c>
      <c r="Z264" s="4"/>
      <c r="AA264" s="4"/>
      <c r="AB264" s="4"/>
    </row>
    <row r="265" spans="1:28" ht="12.75">
      <c r="A265" s="4">
        <v>50</v>
      </c>
      <c r="B265" s="4">
        <v>0</v>
      </c>
      <c r="C265" s="4">
        <v>0</v>
      </c>
      <c r="D265" s="4">
        <v>1</v>
      </c>
      <c r="E265" s="4">
        <v>228</v>
      </c>
      <c r="F265" s="4">
        <f>ROUND(Source!AY257,O265)</f>
        <v>35074.26</v>
      </c>
      <c r="G265" s="4" t="s">
        <v>107</v>
      </c>
      <c r="H265" s="4" t="s">
        <v>108</v>
      </c>
      <c r="I265" s="4"/>
      <c r="J265" s="4"/>
      <c r="K265" s="4">
        <v>228</v>
      </c>
      <c r="L265" s="4">
        <v>7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>
        <v>35074.26</v>
      </c>
      <c r="X265" s="4">
        <v>1</v>
      </c>
      <c r="Y265" s="4">
        <v>180632.44</v>
      </c>
      <c r="Z265" s="4"/>
      <c r="AA265" s="4"/>
      <c r="AB265" s="4"/>
    </row>
    <row r="266" spans="1:28" ht="12.75">
      <c r="A266" s="4">
        <v>50</v>
      </c>
      <c r="B266" s="4">
        <v>0</v>
      </c>
      <c r="C266" s="4">
        <v>0</v>
      </c>
      <c r="D266" s="4">
        <v>1</v>
      </c>
      <c r="E266" s="4">
        <v>216</v>
      </c>
      <c r="F266" s="4">
        <f>ROUND(Source!AP257,O266)</f>
        <v>0</v>
      </c>
      <c r="G266" s="4" t="s">
        <v>109</v>
      </c>
      <c r="H266" s="4" t="s">
        <v>110</v>
      </c>
      <c r="I266" s="4"/>
      <c r="J266" s="4"/>
      <c r="K266" s="4">
        <v>216</v>
      </c>
      <c r="L266" s="4">
        <v>8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>
        <v>0</v>
      </c>
      <c r="X266" s="4">
        <v>1</v>
      </c>
      <c r="Y266" s="4">
        <v>0</v>
      </c>
      <c r="Z266" s="4"/>
      <c r="AA266" s="4"/>
      <c r="AB266" s="4"/>
    </row>
    <row r="267" spans="1:28" ht="12.75">
      <c r="A267" s="4">
        <v>50</v>
      </c>
      <c r="B267" s="4">
        <v>0</v>
      </c>
      <c r="C267" s="4">
        <v>0</v>
      </c>
      <c r="D267" s="4">
        <v>1</v>
      </c>
      <c r="E267" s="4">
        <v>223</v>
      </c>
      <c r="F267" s="4">
        <f>ROUND(Source!AQ257,O267)</f>
        <v>0</v>
      </c>
      <c r="G267" s="4" t="s">
        <v>111</v>
      </c>
      <c r="H267" s="4" t="s">
        <v>112</v>
      </c>
      <c r="I267" s="4"/>
      <c r="J267" s="4"/>
      <c r="K267" s="4">
        <v>223</v>
      </c>
      <c r="L267" s="4">
        <v>9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>
        <v>0</v>
      </c>
      <c r="X267" s="4">
        <v>1</v>
      </c>
      <c r="Y267" s="4">
        <v>0</v>
      </c>
      <c r="Z267" s="4"/>
      <c r="AA267" s="4"/>
      <c r="AB267" s="4"/>
    </row>
    <row r="268" spans="1:28" ht="12.75">
      <c r="A268" s="4">
        <v>50</v>
      </c>
      <c r="B268" s="4">
        <v>0</v>
      </c>
      <c r="C268" s="4">
        <v>0</v>
      </c>
      <c r="D268" s="4">
        <v>1</v>
      </c>
      <c r="E268" s="4">
        <v>229</v>
      </c>
      <c r="F268" s="4">
        <f>ROUND(Source!AZ257,O268)</f>
        <v>0</v>
      </c>
      <c r="G268" s="4" t="s">
        <v>113</v>
      </c>
      <c r="H268" s="4" t="s">
        <v>114</v>
      </c>
      <c r="I268" s="4"/>
      <c r="J268" s="4"/>
      <c r="K268" s="4">
        <v>229</v>
      </c>
      <c r="L268" s="4">
        <v>10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>
        <v>0</v>
      </c>
      <c r="X268" s="4">
        <v>1</v>
      </c>
      <c r="Y268" s="4">
        <v>0</v>
      </c>
      <c r="Z268" s="4"/>
      <c r="AA268" s="4"/>
      <c r="AB268" s="4"/>
    </row>
    <row r="269" spans="1:28" ht="12.75">
      <c r="A269" s="4">
        <v>50</v>
      </c>
      <c r="B269" s="4">
        <v>0</v>
      </c>
      <c r="C269" s="4">
        <v>0</v>
      </c>
      <c r="D269" s="4">
        <v>1</v>
      </c>
      <c r="E269" s="4">
        <v>203</v>
      </c>
      <c r="F269" s="4">
        <f>ROUND(Source!Q257,O269)</f>
        <v>0</v>
      </c>
      <c r="G269" s="4" t="s">
        <v>115</v>
      </c>
      <c r="H269" s="4" t="s">
        <v>116</v>
      </c>
      <c r="I269" s="4"/>
      <c r="J269" s="4"/>
      <c r="K269" s="4">
        <v>203</v>
      </c>
      <c r="L269" s="4">
        <v>11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>
        <v>0</v>
      </c>
      <c r="X269" s="4">
        <v>1</v>
      </c>
      <c r="Y269" s="4">
        <v>0</v>
      </c>
      <c r="Z269" s="4"/>
      <c r="AA269" s="4"/>
      <c r="AB269" s="4"/>
    </row>
    <row r="270" spans="1:28" ht="12.75">
      <c r="A270" s="4">
        <v>50</v>
      </c>
      <c r="B270" s="4">
        <v>0</v>
      </c>
      <c r="C270" s="4">
        <v>0</v>
      </c>
      <c r="D270" s="4">
        <v>1</v>
      </c>
      <c r="E270" s="4">
        <v>231</v>
      </c>
      <c r="F270" s="4">
        <f>ROUND(Source!BB257,O270)</f>
        <v>0</v>
      </c>
      <c r="G270" s="4" t="s">
        <v>117</v>
      </c>
      <c r="H270" s="4" t="s">
        <v>118</v>
      </c>
      <c r="I270" s="4"/>
      <c r="J270" s="4"/>
      <c r="K270" s="4">
        <v>231</v>
      </c>
      <c r="L270" s="4">
        <v>12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>
        <v>0</v>
      </c>
      <c r="X270" s="4">
        <v>1</v>
      </c>
      <c r="Y270" s="4">
        <v>0</v>
      </c>
      <c r="Z270" s="4"/>
      <c r="AA270" s="4"/>
      <c r="AB270" s="4"/>
    </row>
    <row r="271" spans="1:28" ht="12.75">
      <c r="A271" s="4">
        <v>50</v>
      </c>
      <c r="B271" s="4">
        <v>0</v>
      </c>
      <c r="C271" s="4">
        <v>0</v>
      </c>
      <c r="D271" s="4">
        <v>1</v>
      </c>
      <c r="E271" s="4">
        <v>204</v>
      </c>
      <c r="F271" s="4">
        <f>ROUND(Source!R257,O271)</f>
        <v>0</v>
      </c>
      <c r="G271" s="4" t="s">
        <v>119</v>
      </c>
      <c r="H271" s="4" t="s">
        <v>120</v>
      </c>
      <c r="I271" s="4"/>
      <c r="J271" s="4"/>
      <c r="K271" s="4">
        <v>204</v>
      </c>
      <c r="L271" s="4">
        <v>13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>
        <v>0</v>
      </c>
      <c r="X271" s="4">
        <v>1</v>
      </c>
      <c r="Y271" s="4">
        <v>0</v>
      </c>
      <c r="Z271" s="4"/>
      <c r="AA271" s="4"/>
      <c r="AB271" s="4"/>
    </row>
    <row r="272" spans="1:28" ht="12.75">
      <c r="A272" s="4">
        <v>50</v>
      </c>
      <c r="B272" s="4">
        <v>0</v>
      </c>
      <c r="C272" s="4">
        <v>0</v>
      </c>
      <c r="D272" s="4">
        <v>1</v>
      </c>
      <c r="E272" s="4">
        <v>205</v>
      </c>
      <c r="F272" s="4">
        <f>ROUND(Source!S257,O272)</f>
        <v>0</v>
      </c>
      <c r="G272" s="4" t="s">
        <v>121</v>
      </c>
      <c r="H272" s="4" t="s">
        <v>122</v>
      </c>
      <c r="I272" s="4"/>
      <c r="J272" s="4"/>
      <c r="K272" s="4">
        <v>205</v>
      </c>
      <c r="L272" s="4">
        <v>14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>
        <v>0</v>
      </c>
      <c r="X272" s="4">
        <v>1</v>
      </c>
      <c r="Y272" s="4">
        <v>0</v>
      </c>
      <c r="Z272" s="4"/>
      <c r="AA272" s="4"/>
      <c r="AB272" s="4"/>
    </row>
    <row r="273" spans="1:28" ht="12.75">
      <c r="A273" s="4">
        <v>50</v>
      </c>
      <c r="B273" s="4">
        <v>0</v>
      </c>
      <c r="C273" s="4">
        <v>0</v>
      </c>
      <c r="D273" s="4">
        <v>1</v>
      </c>
      <c r="E273" s="4">
        <v>232</v>
      </c>
      <c r="F273" s="4">
        <f>ROUND(Source!BC257,O273)</f>
        <v>0</v>
      </c>
      <c r="G273" s="4" t="s">
        <v>123</v>
      </c>
      <c r="H273" s="4" t="s">
        <v>124</v>
      </c>
      <c r="I273" s="4"/>
      <c r="J273" s="4"/>
      <c r="K273" s="4">
        <v>232</v>
      </c>
      <c r="L273" s="4">
        <v>15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>
        <v>0</v>
      </c>
      <c r="X273" s="4">
        <v>1</v>
      </c>
      <c r="Y273" s="4">
        <v>0</v>
      </c>
      <c r="Z273" s="4"/>
      <c r="AA273" s="4"/>
      <c r="AB273" s="4"/>
    </row>
    <row r="274" spans="1:28" ht="12.75">
      <c r="A274" s="4">
        <v>50</v>
      </c>
      <c r="B274" s="4">
        <v>0</v>
      </c>
      <c r="C274" s="4">
        <v>0</v>
      </c>
      <c r="D274" s="4">
        <v>1</v>
      </c>
      <c r="E274" s="4">
        <v>214</v>
      </c>
      <c r="F274" s="4">
        <f>ROUND(Source!AS257,O274)</f>
        <v>714.62</v>
      </c>
      <c r="G274" s="4" t="s">
        <v>125</v>
      </c>
      <c r="H274" s="4" t="s">
        <v>126</v>
      </c>
      <c r="I274" s="4"/>
      <c r="J274" s="4"/>
      <c r="K274" s="4">
        <v>214</v>
      </c>
      <c r="L274" s="4">
        <v>16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>
        <v>714.62</v>
      </c>
      <c r="X274" s="4">
        <v>1</v>
      </c>
      <c r="Y274" s="4">
        <v>3680.29</v>
      </c>
      <c r="Z274" s="4"/>
      <c r="AA274" s="4"/>
      <c r="AB274" s="4"/>
    </row>
    <row r="275" spans="1:28" ht="12.75">
      <c r="A275" s="4">
        <v>50</v>
      </c>
      <c r="B275" s="4">
        <v>0</v>
      </c>
      <c r="C275" s="4">
        <v>0</v>
      </c>
      <c r="D275" s="4">
        <v>1</v>
      </c>
      <c r="E275" s="4">
        <v>215</v>
      </c>
      <c r="F275" s="4">
        <f>ROUND(Source!AT257,O275)</f>
        <v>34359.64</v>
      </c>
      <c r="G275" s="4" t="s">
        <v>127</v>
      </c>
      <c r="H275" s="4" t="s">
        <v>128</v>
      </c>
      <c r="I275" s="4"/>
      <c r="J275" s="4"/>
      <c r="K275" s="4">
        <v>215</v>
      </c>
      <c r="L275" s="4">
        <v>17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>
        <v>34359.64</v>
      </c>
      <c r="X275" s="4">
        <v>1</v>
      </c>
      <c r="Y275" s="4">
        <v>176952.15</v>
      </c>
      <c r="Z275" s="4"/>
      <c r="AA275" s="4"/>
      <c r="AB275" s="4"/>
    </row>
    <row r="276" spans="1:28" ht="12.75">
      <c r="A276" s="4">
        <v>50</v>
      </c>
      <c r="B276" s="4">
        <v>0</v>
      </c>
      <c r="C276" s="4">
        <v>0</v>
      </c>
      <c r="D276" s="4">
        <v>1</v>
      </c>
      <c r="E276" s="4">
        <v>217</v>
      </c>
      <c r="F276" s="4">
        <f>ROUND(Source!AU257,O276)</f>
        <v>0</v>
      </c>
      <c r="G276" s="4" t="s">
        <v>129</v>
      </c>
      <c r="H276" s="4" t="s">
        <v>130</v>
      </c>
      <c r="I276" s="4"/>
      <c r="J276" s="4"/>
      <c r="K276" s="4">
        <v>217</v>
      </c>
      <c r="L276" s="4">
        <v>18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>
        <v>0</v>
      </c>
      <c r="X276" s="4">
        <v>1</v>
      </c>
      <c r="Y276" s="4">
        <v>0</v>
      </c>
      <c r="Z276" s="4"/>
      <c r="AA276" s="4"/>
      <c r="AB276" s="4"/>
    </row>
    <row r="277" spans="1:28" ht="12.75">
      <c r="A277" s="4">
        <v>50</v>
      </c>
      <c r="B277" s="4">
        <v>0</v>
      </c>
      <c r="C277" s="4">
        <v>0</v>
      </c>
      <c r="D277" s="4">
        <v>1</v>
      </c>
      <c r="E277" s="4">
        <v>230</v>
      </c>
      <c r="F277" s="4">
        <f>ROUND(Source!BA257,O277)</f>
        <v>0</v>
      </c>
      <c r="G277" s="4" t="s">
        <v>131</v>
      </c>
      <c r="H277" s="4" t="s">
        <v>132</v>
      </c>
      <c r="I277" s="4"/>
      <c r="J277" s="4"/>
      <c r="K277" s="4">
        <v>230</v>
      </c>
      <c r="L277" s="4">
        <v>19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>
        <v>0</v>
      </c>
      <c r="X277" s="4">
        <v>1</v>
      </c>
      <c r="Y277" s="4">
        <v>0</v>
      </c>
      <c r="Z277" s="4"/>
      <c r="AA277" s="4"/>
      <c r="AB277" s="4"/>
    </row>
    <row r="278" spans="1:28" ht="12.75">
      <c r="A278" s="4">
        <v>50</v>
      </c>
      <c r="B278" s="4">
        <v>0</v>
      </c>
      <c r="C278" s="4">
        <v>0</v>
      </c>
      <c r="D278" s="4">
        <v>1</v>
      </c>
      <c r="E278" s="4">
        <v>206</v>
      </c>
      <c r="F278" s="4">
        <f>ROUND(Source!T257,O278)</f>
        <v>0</v>
      </c>
      <c r="G278" s="4" t="s">
        <v>133</v>
      </c>
      <c r="H278" s="4" t="s">
        <v>134</v>
      </c>
      <c r="I278" s="4"/>
      <c r="J278" s="4"/>
      <c r="K278" s="4">
        <v>206</v>
      </c>
      <c r="L278" s="4">
        <v>20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>
        <v>0</v>
      </c>
      <c r="X278" s="4">
        <v>1</v>
      </c>
      <c r="Y278" s="4">
        <v>0</v>
      </c>
      <c r="Z278" s="4"/>
      <c r="AA278" s="4"/>
      <c r="AB278" s="4"/>
    </row>
    <row r="279" spans="1:28" ht="12.75">
      <c r="A279" s="4">
        <v>50</v>
      </c>
      <c r="B279" s="4">
        <v>0</v>
      </c>
      <c r="C279" s="4">
        <v>0</v>
      </c>
      <c r="D279" s="4">
        <v>1</v>
      </c>
      <c r="E279" s="4">
        <v>207</v>
      </c>
      <c r="F279" s="4">
        <f>Source!U257</f>
        <v>0</v>
      </c>
      <c r="G279" s="4" t="s">
        <v>135</v>
      </c>
      <c r="H279" s="4" t="s">
        <v>136</v>
      </c>
      <c r="I279" s="4"/>
      <c r="J279" s="4"/>
      <c r="K279" s="4">
        <v>207</v>
      </c>
      <c r="L279" s="4">
        <v>21</v>
      </c>
      <c r="M279" s="4">
        <v>3</v>
      </c>
      <c r="N279" s="4" t="s">
        <v>3</v>
      </c>
      <c r="O279" s="4">
        <v>-1</v>
      </c>
      <c r="P279" s="4"/>
      <c r="Q279" s="4"/>
      <c r="R279" s="4"/>
      <c r="S279" s="4"/>
      <c r="T279" s="4"/>
      <c r="U279" s="4"/>
      <c r="V279" s="4"/>
      <c r="W279" s="4">
        <v>0</v>
      </c>
      <c r="X279" s="4">
        <v>1</v>
      </c>
      <c r="Y279" s="4">
        <v>0</v>
      </c>
      <c r="Z279" s="4"/>
      <c r="AA279" s="4"/>
      <c r="AB279" s="4"/>
    </row>
    <row r="280" spans="1:28" ht="12.75">
      <c r="A280" s="4">
        <v>50</v>
      </c>
      <c r="B280" s="4">
        <v>0</v>
      </c>
      <c r="C280" s="4">
        <v>0</v>
      </c>
      <c r="D280" s="4">
        <v>1</v>
      </c>
      <c r="E280" s="4">
        <v>208</v>
      </c>
      <c r="F280" s="4">
        <f>Source!V257</f>
        <v>0</v>
      </c>
      <c r="G280" s="4" t="s">
        <v>137</v>
      </c>
      <c r="H280" s="4" t="s">
        <v>138</v>
      </c>
      <c r="I280" s="4"/>
      <c r="J280" s="4"/>
      <c r="K280" s="4">
        <v>208</v>
      </c>
      <c r="L280" s="4">
        <v>22</v>
      </c>
      <c r="M280" s="4">
        <v>3</v>
      </c>
      <c r="N280" s="4" t="s">
        <v>3</v>
      </c>
      <c r="O280" s="4">
        <v>-1</v>
      </c>
      <c r="P280" s="4"/>
      <c r="Q280" s="4"/>
      <c r="R280" s="4"/>
      <c r="S280" s="4"/>
      <c r="T280" s="4"/>
      <c r="U280" s="4"/>
      <c r="V280" s="4"/>
      <c r="W280" s="4">
        <v>0</v>
      </c>
      <c r="X280" s="4">
        <v>1</v>
      </c>
      <c r="Y280" s="4">
        <v>0</v>
      </c>
      <c r="Z280" s="4"/>
      <c r="AA280" s="4"/>
      <c r="AB280" s="4"/>
    </row>
    <row r="281" spans="1:28" ht="12.75">
      <c r="A281" s="4">
        <v>50</v>
      </c>
      <c r="B281" s="4">
        <v>0</v>
      </c>
      <c r="C281" s="4">
        <v>0</v>
      </c>
      <c r="D281" s="4">
        <v>1</v>
      </c>
      <c r="E281" s="4">
        <v>209</v>
      </c>
      <c r="F281" s="4">
        <f>ROUND(Source!W257,O281)</f>
        <v>0</v>
      </c>
      <c r="G281" s="4" t="s">
        <v>139</v>
      </c>
      <c r="H281" s="4" t="s">
        <v>140</v>
      </c>
      <c r="I281" s="4"/>
      <c r="J281" s="4"/>
      <c r="K281" s="4">
        <v>209</v>
      </c>
      <c r="L281" s="4">
        <v>23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>
        <v>0</v>
      </c>
      <c r="X281" s="4">
        <v>1</v>
      </c>
      <c r="Y281" s="4">
        <v>0</v>
      </c>
      <c r="Z281" s="4"/>
      <c r="AA281" s="4"/>
      <c r="AB281" s="4"/>
    </row>
    <row r="282" spans="1:28" ht="12.75">
      <c r="A282" s="4">
        <v>50</v>
      </c>
      <c r="B282" s="4">
        <v>0</v>
      </c>
      <c r="C282" s="4">
        <v>0</v>
      </c>
      <c r="D282" s="4">
        <v>1</v>
      </c>
      <c r="E282" s="4">
        <v>233</v>
      </c>
      <c r="F282" s="4">
        <f>ROUND(Source!BD257,O282)</f>
        <v>0</v>
      </c>
      <c r="G282" s="4" t="s">
        <v>141</v>
      </c>
      <c r="H282" s="4" t="s">
        <v>142</v>
      </c>
      <c r="I282" s="4"/>
      <c r="J282" s="4"/>
      <c r="K282" s="4">
        <v>233</v>
      </c>
      <c r="L282" s="4">
        <v>24</v>
      </c>
      <c r="M282" s="4">
        <v>3</v>
      </c>
      <c r="N282" s="4" t="s">
        <v>3</v>
      </c>
      <c r="O282" s="4">
        <v>2</v>
      </c>
      <c r="P282" s="4"/>
      <c r="Q282" s="4"/>
      <c r="R282" s="4"/>
      <c r="S282" s="4"/>
      <c r="T282" s="4"/>
      <c r="U282" s="4"/>
      <c r="V282" s="4"/>
      <c r="W282" s="4">
        <v>0</v>
      </c>
      <c r="X282" s="4">
        <v>1</v>
      </c>
      <c r="Y282" s="4">
        <v>0</v>
      </c>
      <c r="Z282" s="4"/>
      <c r="AA282" s="4"/>
      <c r="AB282" s="4"/>
    </row>
    <row r="283" spans="1:28" ht="12.75">
      <c r="A283" s="4">
        <v>50</v>
      </c>
      <c r="B283" s="4">
        <v>0</v>
      </c>
      <c r="C283" s="4">
        <v>0</v>
      </c>
      <c r="D283" s="4">
        <v>1</v>
      </c>
      <c r="E283" s="4">
        <v>0</v>
      </c>
      <c r="F283" s="4">
        <f>ROUND(Source!X257,O283)</f>
        <v>0</v>
      </c>
      <c r="G283" s="4" t="s">
        <v>143</v>
      </c>
      <c r="H283" s="4" t="s">
        <v>144</v>
      </c>
      <c r="I283" s="4"/>
      <c r="J283" s="4"/>
      <c r="K283" s="4">
        <v>210</v>
      </c>
      <c r="L283" s="4">
        <v>25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>
        <v>0</v>
      </c>
      <c r="X283" s="4">
        <v>1</v>
      </c>
      <c r="Y283" s="4">
        <v>0</v>
      </c>
      <c r="Z283" s="4"/>
      <c r="AA283" s="4"/>
      <c r="AB283" s="4"/>
    </row>
    <row r="284" spans="1:28" ht="12.75">
      <c r="A284" s="4">
        <v>50</v>
      </c>
      <c r="B284" s="4">
        <v>0</v>
      </c>
      <c r="C284" s="4">
        <v>0</v>
      </c>
      <c r="D284" s="4">
        <v>1</v>
      </c>
      <c r="E284" s="4">
        <v>0</v>
      </c>
      <c r="F284" s="4">
        <f>ROUND(Source!Y257,O284)</f>
        <v>0</v>
      </c>
      <c r="G284" s="4" t="s">
        <v>145</v>
      </c>
      <c r="H284" s="4" t="s">
        <v>146</v>
      </c>
      <c r="I284" s="4"/>
      <c r="J284" s="4"/>
      <c r="K284" s="4">
        <v>211</v>
      </c>
      <c r="L284" s="4">
        <v>26</v>
      </c>
      <c r="M284" s="4">
        <v>3</v>
      </c>
      <c r="N284" s="4" t="s">
        <v>3</v>
      </c>
      <c r="O284" s="4">
        <v>2</v>
      </c>
      <c r="P284" s="4"/>
      <c r="Q284" s="4"/>
      <c r="R284" s="4"/>
      <c r="S284" s="4"/>
      <c r="T284" s="4"/>
      <c r="U284" s="4"/>
      <c r="V284" s="4"/>
      <c r="W284" s="4">
        <v>0</v>
      </c>
      <c r="X284" s="4">
        <v>1</v>
      </c>
      <c r="Y284" s="4">
        <v>0</v>
      </c>
      <c r="Z284" s="4"/>
      <c r="AA284" s="4"/>
      <c r="AB284" s="4"/>
    </row>
    <row r="285" spans="1:28" ht="12.75">
      <c r="A285" s="4">
        <v>50</v>
      </c>
      <c r="B285" s="4">
        <v>0</v>
      </c>
      <c r="C285" s="4">
        <v>0</v>
      </c>
      <c r="D285" s="4">
        <v>1</v>
      </c>
      <c r="E285" s="4">
        <v>224</v>
      </c>
      <c r="F285" s="4">
        <f>ROUND(Source!AR257,O285)</f>
        <v>35074.26</v>
      </c>
      <c r="G285" s="4" t="s">
        <v>147</v>
      </c>
      <c r="H285" s="4" t="s">
        <v>148</v>
      </c>
      <c r="I285" s="4"/>
      <c r="J285" s="4"/>
      <c r="K285" s="4">
        <v>224</v>
      </c>
      <c r="L285" s="4">
        <v>27</v>
      </c>
      <c r="M285" s="4">
        <v>3</v>
      </c>
      <c r="N285" s="4" t="s">
        <v>3</v>
      </c>
      <c r="O285" s="4">
        <v>2</v>
      </c>
      <c r="P285" s="4"/>
      <c r="Q285" s="4"/>
      <c r="R285" s="4"/>
      <c r="S285" s="4"/>
      <c r="T285" s="4"/>
      <c r="U285" s="4"/>
      <c r="V285" s="4"/>
      <c r="W285" s="4">
        <v>35074.26</v>
      </c>
      <c r="X285" s="4">
        <v>1</v>
      </c>
      <c r="Y285" s="4">
        <v>180632.44</v>
      </c>
      <c r="Z285" s="4"/>
      <c r="AA285" s="4"/>
      <c r="AB285" s="4"/>
    </row>
    <row r="286" spans="1:28" ht="12.75">
      <c r="A286" s="4">
        <v>50</v>
      </c>
      <c r="B286" s="4">
        <v>1</v>
      </c>
      <c r="C286" s="4">
        <v>0</v>
      </c>
      <c r="D286" s="4">
        <v>2</v>
      </c>
      <c r="E286" s="4">
        <v>201</v>
      </c>
      <c r="F286" s="4">
        <f>ROUND(ROUND(F259,0),O286)</f>
        <v>35074</v>
      </c>
      <c r="G286" s="4" t="s">
        <v>149</v>
      </c>
      <c r="H286" s="4" t="s">
        <v>150</v>
      </c>
      <c r="I286" s="4"/>
      <c r="J286" s="4"/>
      <c r="K286" s="4">
        <v>212</v>
      </c>
      <c r="L286" s="4">
        <v>28</v>
      </c>
      <c r="M286" s="4">
        <v>0</v>
      </c>
      <c r="N286" s="4" t="s">
        <v>3</v>
      </c>
      <c r="O286" s="4">
        <v>0</v>
      </c>
      <c r="P286" s="4"/>
      <c r="Q286" s="4"/>
      <c r="R286" s="4"/>
      <c r="S286" s="4"/>
      <c r="T286" s="4"/>
      <c r="U286" s="4"/>
      <c r="V286" s="4"/>
      <c r="W286" s="4">
        <v>35074</v>
      </c>
      <c r="X286" s="4">
        <v>1</v>
      </c>
      <c r="Y286" s="4">
        <v>180632</v>
      </c>
      <c r="Z286" s="4"/>
      <c r="AA286" s="4"/>
      <c r="AB286" s="4"/>
    </row>
    <row r="287" spans="1:28" ht="12.75">
      <c r="A287" s="4">
        <v>50</v>
      </c>
      <c r="B287" s="4">
        <v>1</v>
      </c>
      <c r="C287" s="4">
        <v>0</v>
      </c>
      <c r="D287" s="4">
        <v>2</v>
      </c>
      <c r="E287" s="4">
        <v>210</v>
      </c>
      <c r="F287" s="4">
        <f>ROUND(ROUND(F283,0),O287)</f>
        <v>0</v>
      </c>
      <c r="G287" s="4" t="s">
        <v>151</v>
      </c>
      <c r="H287" s="4" t="s">
        <v>144</v>
      </c>
      <c r="I287" s="4"/>
      <c r="J287" s="4"/>
      <c r="K287" s="4">
        <v>212</v>
      </c>
      <c r="L287" s="4">
        <v>29</v>
      </c>
      <c r="M287" s="4">
        <v>0</v>
      </c>
      <c r="N287" s="4" t="s">
        <v>3</v>
      </c>
      <c r="O287" s="4">
        <v>0</v>
      </c>
      <c r="P287" s="4"/>
      <c r="Q287" s="4"/>
      <c r="R287" s="4"/>
      <c r="S287" s="4"/>
      <c r="T287" s="4"/>
      <c r="U287" s="4"/>
      <c r="V287" s="4"/>
      <c r="W287" s="4">
        <v>0</v>
      </c>
      <c r="X287" s="4">
        <v>1</v>
      </c>
      <c r="Y287" s="4">
        <v>0</v>
      </c>
      <c r="Z287" s="4"/>
      <c r="AA287" s="4"/>
      <c r="AB287" s="4"/>
    </row>
    <row r="288" spans="1:28" ht="12.75">
      <c r="A288" s="4">
        <v>50</v>
      </c>
      <c r="B288" s="4">
        <v>1</v>
      </c>
      <c r="C288" s="4">
        <v>0</v>
      </c>
      <c r="D288" s="4">
        <v>2</v>
      </c>
      <c r="E288" s="4">
        <v>211</v>
      </c>
      <c r="F288" s="4">
        <f>ROUND(ROUND(F284,0),O288)</f>
        <v>0</v>
      </c>
      <c r="G288" s="4" t="s">
        <v>152</v>
      </c>
      <c r="H288" s="4" t="s">
        <v>146</v>
      </c>
      <c r="I288" s="4"/>
      <c r="J288" s="4"/>
      <c r="K288" s="4">
        <v>212</v>
      </c>
      <c r="L288" s="4">
        <v>30</v>
      </c>
      <c r="M288" s="4">
        <v>0</v>
      </c>
      <c r="N288" s="4" t="s">
        <v>3</v>
      </c>
      <c r="O288" s="4">
        <v>0</v>
      </c>
      <c r="P288" s="4"/>
      <c r="Q288" s="4"/>
      <c r="R288" s="4"/>
      <c r="S288" s="4"/>
      <c r="T288" s="4"/>
      <c r="U288" s="4"/>
      <c r="V288" s="4"/>
      <c r="W288" s="4">
        <v>0</v>
      </c>
      <c r="X288" s="4">
        <v>1</v>
      </c>
      <c r="Y288" s="4">
        <v>0</v>
      </c>
      <c r="Z288" s="4"/>
      <c r="AA288" s="4"/>
      <c r="AB288" s="4"/>
    </row>
    <row r="289" spans="1:28" ht="12.75">
      <c r="A289" s="4">
        <v>50</v>
      </c>
      <c r="B289" s="4">
        <v>1</v>
      </c>
      <c r="C289" s="4">
        <v>0</v>
      </c>
      <c r="D289" s="4">
        <v>2</v>
      </c>
      <c r="E289" s="4">
        <v>213</v>
      </c>
      <c r="F289" s="4">
        <f>ROUND(F286+F287+F288,O289)</f>
        <v>35074</v>
      </c>
      <c r="G289" s="4" t="s">
        <v>153</v>
      </c>
      <c r="H289" s="4" t="s">
        <v>154</v>
      </c>
      <c r="I289" s="4"/>
      <c r="J289" s="4"/>
      <c r="K289" s="4">
        <v>212</v>
      </c>
      <c r="L289" s="4">
        <v>31</v>
      </c>
      <c r="M289" s="4">
        <v>0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>
        <v>35074</v>
      </c>
      <c r="X289" s="4">
        <v>1</v>
      </c>
      <c r="Y289" s="4">
        <v>180632</v>
      </c>
      <c r="Z289" s="4"/>
      <c r="AA289" s="4"/>
      <c r="AB289" s="4"/>
    </row>
    <row r="290" spans="1:28" ht="12.75">
      <c r="A290" s="4">
        <v>50</v>
      </c>
      <c r="B290" s="4">
        <v>1</v>
      </c>
      <c r="C290" s="4">
        <v>0</v>
      </c>
      <c r="D290" s="4">
        <v>2</v>
      </c>
      <c r="E290" s="4">
        <v>0</v>
      </c>
      <c r="F290" s="4">
        <v>714.62</v>
      </c>
      <c r="G290" s="4" t="s">
        <v>155</v>
      </c>
      <c r="H290" s="4" t="s">
        <v>156</v>
      </c>
      <c r="I290" s="4"/>
      <c r="J290" s="4"/>
      <c r="K290" s="4">
        <v>212</v>
      </c>
      <c r="L290" s="4">
        <v>32</v>
      </c>
      <c r="M290" s="4">
        <v>1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>
        <v>714.62</v>
      </c>
      <c r="X290" s="4">
        <v>1</v>
      </c>
      <c r="Y290" s="4">
        <v>714.62</v>
      </c>
      <c r="Z290" s="4"/>
      <c r="AA290" s="4"/>
      <c r="AB290" s="4"/>
    </row>
    <row r="291" spans="1:28" ht="12.75">
      <c r="A291" s="4">
        <v>50</v>
      </c>
      <c r="B291" s="4">
        <v>1</v>
      </c>
      <c r="C291" s="4">
        <v>0</v>
      </c>
      <c r="D291" s="4">
        <v>2</v>
      </c>
      <c r="E291" s="4">
        <v>0</v>
      </c>
      <c r="F291" s="4">
        <v>34359.64</v>
      </c>
      <c r="G291" s="4" t="s">
        <v>157</v>
      </c>
      <c r="H291" s="4" t="s">
        <v>158</v>
      </c>
      <c r="I291" s="4"/>
      <c r="J291" s="4"/>
      <c r="K291" s="4">
        <v>212</v>
      </c>
      <c r="L291" s="4">
        <v>33</v>
      </c>
      <c r="M291" s="4">
        <v>1</v>
      </c>
      <c r="N291" s="4" t="s">
        <v>3</v>
      </c>
      <c r="O291" s="4">
        <v>2</v>
      </c>
      <c r="P291" s="4"/>
      <c r="Q291" s="4"/>
      <c r="R291" s="4"/>
      <c r="S291" s="4"/>
      <c r="T291" s="4"/>
      <c r="U291" s="4"/>
      <c r="V291" s="4"/>
      <c r="W291" s="4">
        <v>34359.64</v>
      </c>
      <c r="X291" s="4">
        <v>1</v>
      </c>
      <c r="Y291" s="4">
        <v>34359.64</v>
      </c>
      <c r="Z291" s="4"/>
      <c r="AA291" s="4"/>
      <c r="AB291" s="4"/>
    </row>
    <row r="292" spans="1:28" ht="12.75">
      <c r="A292" s="4">
        <v>50</v>
      </c>
      <c r="B292" s="4">
        <v>0</v>
      </c>
      <c r="C292" s="4">
        <v>0</v>
      </c>
      <c r="D292" s="4">
        <v>2</v>
      </c>
      <c r="E292" s="4">
        <v>0</v>
      </c>
      <c r="F292" s="4">
        <v>0</v>
      </c>
      <c r="G292" s="4" t="s">
        <v>159</v>
      </c>
      <c r="H292" s="4" t="s">
        <v>160</v>
      </c>
      <c r="I292" s="4"/>
      <c r="J292" s="4"/>
      <c r="K292" s="4">
        <v>212</v>
      </c>
      <c r="L292" s="4">
        <v>34</v>
      </c>
      <c r="M292" s="4">
        <v>1</v>
      </c>
      <c r="N292" s="4" t="s">
        <v>3</v>
      </c>
      <c r="O292" s="4">
        <v>2</v>
      </c>
      <c r="P292" s="4"/>
      <c r="Q292" s="4"/>
      <c r="R292" s="4"/>
      <c r="S292" s="4"/>
      <c r="T292" s="4"/>
      <c r="U292" s="4"/>
      <c r="V292" s="4"/>
      <c r="W292" s="4">
        <v>0</v>
      </c>
      <c r="X292" s="4">
        <v>1</v>
      </c>
      <c r="Y292" s="4">
        <v>0</v>
      </c>
      <c r="Z292" s="4"/>
      <c r="AA292" s="4"/>
      <c r="AB292" s="4"/>
    </row>
    <row r="293" spans="1:28" ht="12.75">
      <c r="A293" s="4">
        <v>50</v>
      </c>
      <c r="B293" s="4">
        <v>0</v>
      </c>
      <c r="C293" s="4">
        <v>0</v>
      </c>
      <c r="D293" s="4">
        <v>2</v>
      </c>
      <c r="E293" s="4">
        <v>0</v>
      </c>
      <c r="F293" s="4">
        <v>0</v>
      </c>
      <c r="G293" s="4" t="s">
        <v>161</v>
      </c>
      <c r="H293" s="4" t="s">
        <v>162</v>
      </c>
      <c r="I293" s="4"/>
      <c r="J293" s="4"/>
      <c r="K293" s="4">
        <v>212</v>
      </c>
      <c r="L293" s="4">
        <v>35</v>
      </c>
      <c r="M293" s="4">
        <v>1</v>
      </c>
      <c r="N293" s="4" t="s">
        <v>3</v>
      </c>
      <c r="O293" s="4">
        <v>2</v>
      </c>
      <c r="P293" s="4"/>
      <c r="Q293" s="4"/>
      <c r="R293" s="4"/>
      <c r="S293" s="4"/>
      <c r="T293" s="4"/>
      <c r="U293" s="4"/>
      <c r="V293" s="4"/>
      <c r="W293" s="4">
        <v>0</v>
      </c>
      <c r="X293" s="4">
        <v>1</v>
      </c>
      <c r="Y293" s="4">
        <v>0</v>
      </c>
      <c r="Z293" s="4"/>
      <c r="AA293" s="4"/>
      <c r="AB293" s="4"/>
    </row>
    <row r="294" spans="1:28" ht="12.75">
      <c r="A294" s="4">
        <v>50</v>
      </c>
      <c r="B294" s="4">
        <f>IF(Source!F294=0,1,0)</f>
        <v>1</v>
      </c>
      <c r="C294" s="4">
        <v>0</v>
      </c>
      <c r="D294" s="4">
        <v>2</v>
      </c>
      <c r="E294" s="4">
        <v>0</v>
      </c>
      <c r="F294" s="4">
        <f>ROUND(ROUND((F289-F290-F291-F292-F293),0),O294)</f>
        <v>0</v>
      </c>
      <c r="G294" s="4" t="s">
        <v>163</v>
      </c>
      <c r="H294" s="4" t="s">
        <v>164</v>
      </c>
      <c r="I294" s="4"/>
      <c r="J294" s="4"/>
      <c r="K294" s="4">
        <v>212</v>
      </c>
      <c r="L294" s="4">
        <v>36</v>
      </c>
      <c r="M294" s="4">
        <v>2</v>
      </c>
      <c r="N294" s="4" t="s">
        <v>3</v>
      </c>
      <c r="O294" s="4">
        <v>0</v>
      </c>
      <c r="P294" s="4"/>
      <c r="Q294" s="4"/>
      <c r="R294" s="4"/>
      <c r="S294" s="4"/>
      <c r="T294" s="4"/>
      <c r="U294" s="4"/>
      <c r="V294" s="4"/>
      <c r="W294" s="4">
        <v>0</v>
      </c>
      <c r="X294" s="4">
        <v>1</v>
      </c>
      <c r="Y294" s="4">
        <v>145558</v>
      </c>
      <c r="Z294" s="4"/>
      <c r="AA294" s="4"/>
      <c r="AB294" s="4"/>
    </row>
    <row r="296" spans="1:88" ht="12.75">
      <c r="A296" s="1">
        <v>4</v>
      </c>
      <c r="B296" s="1">
        <v>1</v>
      </c>
      <c r="C296" s="1"/>
      <c r="D296" s="1">
        <f>ROW(A303)</f>
        <v>303</v>
      </c>
      <c r="E296" s="1"/>
      <c r="F296" s="1" t="s">
        <v>15</v>
      </c>
      <c r="G296" s="1" t="s">
        <v>368</v>
      </c>
      <c r="H296" s="1" t="s">
        <v>3</v>
      </c>
      <c r="I296" s="1">
        <v>0</v>
      </c>
      <c r="J296" s="1"/>
      <c r="K296" s="1">
        <v>0</v>
      </c>
      <c r="L296" s="1"/>
      <c r="M296" s="1" t="s">
        <v>3</v>
      </c>
      <c r="N296" s="1"/>
      <c r="O296" s="1"/>
      <c r="P296" s="1"/>
      <c r="Q296" s="1"/>
      <c r="R296" s="1"/>
      <c r="S296" s="1">
        <v>44571021</v>
      </c>
      <c r="T296" s="1"/>
      <c r="U296" s="1" t="s">
        <v>3</v>
      </c>
      <c r="V296" s="1">
        <v>0</v>
      </c>
      <c r="W296" s="1"/>
      <c r="X296" s="1"/>
      <c r="Y296" s="1"/>
      <c r="Z296" s="1"/>
      <c r="AA296" s="1"/>
      <c r="AB296" s="1" t="s">
        <v>3</v>
      </c>
      <c r="AC296" s="1" t="s">
        <v>3</v>
      </c>
      <c r="AD296" s="1" t="s">
        <v>3</v>
      </c>
      <c r="AE296" s="1" t="s">
        <v>3</v>
      </c>
      <c r="AF296" s="1" t="s">
        <v>3</v>
      </c>
      <c r="AG296" s="1" t="s">
        <v>3</v>
      </c>
      <c r="AH296" s="1"/>
      <c r="AI296" s="1"/>
      <c r="AJ296" s="1"/>
      <c r="AK296" s="1"/>
      <c r="AL296" s="1"/>
      <c r="AM296" s="1"/>
      <c r="AN296" s="1"/>
      <c r="AO296" s="1"/>
      <c r="AP296" s="1" t="s">
        <v>3</v>
      </c>
      <c r="AQ296" s="1" t="s">
        <v>3</v>
      </c>
      <c r="AR296" s="1" t="s">
        <v>3</v>
      </c>
      <c r="AS296" s="1"/>
      <c r="AT296" s="1"/>
      <c r="AU296" s="1"/>
      <c r="AV296" s="1"/>
      <c r="AW296" s="1"/>
      <c r="AX296" s="1"/>
      <c r="AY296" s="1"/>
      <c r="AZ296" s="1" t="s">
        <v>3</v>
      </c>
      <c r="BA296" s="1"/>
      <c r="BB296" s="1" t="s">
        <v>3</v>
      </c>
      <c r="BC296" s="1" t="s">
        <v>3</v>
      </c>
      <c r="BD296" s="1" t="s">
        <v>3</v>
      </c>
      <c r="BE296" s="1" t="s">
        <v>3</v>
      </c>
      <c r="BF296" s="1" t="s">
        <v>3</v>
      </c>
      <c r="BG296" s="1" t="s">
        <v>3</v>
      </c>
      <c r="BH296" s="1" t="s">
        <v>3</v>
      </c>
      <c r="BI296" s="1" t="s">
        <v>3</v>
      </c>
      <c r="BJ296" s="1" t="s">
        <v>3</v>
      </c>
      <c r="BK296" s="1" t="s">
        <v>3</v>
      </c>
      <c r="BL296" s="1" t="s">
        <v>3</v>
      </c>
      <c r="BM296" s="1" t="s">
        <v>3</v>
      </c>
      <c r="BN296" s="1" t="s">
        <v>3</v>
      </c>
      <c r="BO296" s="1" t="s">
        <v>3</v>
      </c>
      <c r="BP296" s="1" t="s">
        <v>3</v>
      </c>
      <c r="BQ296" s="1"/>
      <c r="BR296" s="1"/>
      <c r="BS296" s="1"/>
      <c r="BT296" s="1"/>
      <c r="BU296" s="1"/>
      <c r="BV296" s="1"/>
      <c r="BW296" s="1"/>
      <c r="BX296" s="1">
        <v>0</v>
      </c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>
        <v>0</v>
      </c>
    </row>
    <row r="298" spans="1:206" ht="12.75">
      <c r="A298" s="2">
        <v>52</v>
      </c>
      <c r="B298" s="2">
        <f aca="true" t="shared" si="218" ref="B298:G298">B303</f>
        <v>1</v>
      </c>
      <c r="C298" s="2">
        <f t="shared" si="218"/>
        <v>4</v>
      </c>
      <c r="D298" s="2">
        <f t="shared" si="218"/>
        <v>296</v>
      </c>
      <c r="E298" s="2">
        <f t="shared" si="218"/>
        <v>0</v>
      </c>
      <c r="F298" s="2" t="str">
        <f t="shared" si="218"/>
        <v>Новый раздел</v>
      </c>
      <c r="G298" s="2" t="str">
        <f t="shared" si="218"/>
        <v>Пусконаладочные работы</v>
      </c>
      <c r="H298" s="2"/>
      <c r="I298" s="2"/>
      <c r="J298" s="2"/>
      <c r="K298" s="2"/>
      <c r="L298" s="2"/>
      <c r="M298" s="2"/>
      <c r="N298" s="2"/>
      <c r="O298" s="2">
        <f aca="true" t="shared" si="219" ref="O298:AT298">O303</f>
        <v>53.78</v>
      </c>
      <c r="P298" s="2">
        <f t="shared" si="219"/>
        <v>0</v>
      </c>
      <c r="Q298" s="2">
        <f t="shared" si="219"/>
        <v>0</v>
      </c>
      <c r="R298" s="2">
        <f t="shared" si="219"/>
        <v>0</v>
      </c>
      <c r="S298" s="2">
        <f t="shared" si="219"/>
        <v>53.78</v>
      </c>
      <c r="T298" s="2">
        <f t="shared" si="219"/>
        <v>0</v>
      </c>
      <c r="U298" s="2">
        <f t="shared" si="219"/>
        <v>4.319999999999999</v>
      </c>
      <c r="V298" s="2">
        <f t="shared" si="219"/>
        <v>0</v>
      </c>
      <c r="W298" s="2">
        <f t="shared" si="219"/>
        <v>0</v>
      </c>
      <c r="X298" s="2">
        <f t="shared" si="219"/>
        <v>39.8</v>
      </c>
      <c r="Y298" s="2">
        <f t="shared" si="219"/>
        <v>19.36</v>
      </c>
      <c r="Z298" s="2">
        <f t="shared" si="219"/>
        <v>0</v>
      </c>
      <c r="AA298" s="2">
        <f t="shared" si="219"/>
        <v>0</v>
      </c>
      <c r="AB298" s="2">
        <f t="shared" si="219"/>
        <v>53.78</v>
      </c>
      <c r="AC298" s="2">
        <f t="shared" si="219"/>
        <v>0</v>
      </c>
      <c r="AD298" s="2">
        <f t="shared" si="219"/>
        <v>0</v>
      </c>
      <c r="AE298" s="2">
        <f t="shared" si="219"/>
        <v>0</v>
      </c>
      <c r="AF298" s="2">
        <f t="shared" si="219"/>
        <v>53.78</v>
      </c>
      <c r="AG298" s="2">
        <f t="shared" si="219"/>
        <v>0</v>
      </c>
      <c r="AH298" s="2">
        <f t="shared" si="219"/>
        <v>4.319999999999999</v>
      </c>
      <c r="AI298" s="2">
        <f t="shared" si="219"/>
        <v>0</v>
      </c>
      <c r="AJ298" s="2">
        <f t="shared" si="219"/>
        <v>0</v>
      </c>
      <c r="AK298" s="2">
        <f t="shared" si="219"/>
        <v>39.8</v>
      </c>
      <c r="AL298" s="2">
        <f t="shared" si="219"/>
        <v>19.36</v>
      </c>
      <c r="AM298" s="2">
        <f t="shared" si="219"/>
        <v>0</v>
      </c>
      <c r="AN298" s="2">
        <f t="shared" si="219"/>
        <v>0</v>
      </c>
      <c r="AO298" s="2">
        <f t="shared" si="219"/>
        <v>0</v>
      </c>
      <c r="AP298" s="2">
        <f t="shared" si="219"/>
        <v>0</v>
      </c>
      <c r="AQ298" s="2">
        <f t="shared" si="219"/>
        <v>0</v>
      </c>
      <c r="AR298" s="2">
        <f t="shared" si="219"/>
        <v>112.94</v>
      </c>
      <c r="AS298" s="2">
        <f t="shared" si="219"/>
        <v>0</v>
      </c>
      <c r="AT298" s="2">
        <f t="shared" si="219"/>
        <v>0</v>
      </c>
      <c r="AU298" s="2">
        <f aca="true" t="shared" si="220" ref="AU298:BZ298">AU303</f>
        <v>112.94</v>
      </c>
      <c r="AV298" s="2">
        <f t="shared" si="220"/>
        <v>0</v>
      </c>
      <c r="AW298" s="2">
        <f t="shared" si="220"/>
        <v>0</v>
      </c>
      <c r="AX298" s="2">
        <f t="shared" si="220"/>
        <v>0</v>
      </c>
      <c r="AY298" s="2">
        <f t="shared" si="220"/>
        <v>0</v>
      </c>
      <c r="AZ298" s="2">
        <f t="shared" si="220"/>
        <v>0</v>
      </c>
      <c r="BA298" s="2">
        <f t="shared" si="220"/>
        <v>0</v>
      </c>
      <c r="BB298" s="2">
        <f t="shared" si="220"/>
        <v>0</v>
      </c>
      <c r="BC298" s="2">
        <f t="shared" si="220"/>
        <v>0</v>
      </c>
      <c r="BD298" s="2">
        <f t="shared" si="220"/>
        <v>0</v>
      </c>
      <c r="BE298" s="2">
        <f t="shared" si="220"/>
        <v>0</v>
      </c>
      <c r="BF298" s="2">
        <f t="shared" si="220"/>
        <v>0</v>
      </c>
      <c r="BG298" s="2">
        <f t="shared" si="220"/>
        <v>0</v>
      </c>
      <c r="BH298" s="2">
        <f t="shared" si="220"/>
        <v>0</v>
      </c>
      <c r="BI298" s="2">
        <f t="shared" si="220"/>
        <v>0</v>
      </c>
      <c r="BJ298" s="2">
        <f t="shared" si="220"/>
        <v>0</v>
      </c>
      <c r="BK298" s="2">
        <f t="shared" si="220"/>
        <v>0</v>
      </c>
      <c r="BL298" s="2">
        <f t="shared" si="220"/>
        <v>0</v>
      </c>
      <c r="BM298" s="2">
        <f t="shared" si="220"/>
        <v>0</v>
      </c>
      <c r="BN298" s="2">
        <f t="shared" si="220"/>
        <v>0</v>
      </c>
      <c r="BO298" s="2">
        <f t="shared" si="220"/>
        <v>0</v>
      </c>
      <c r="BP298" s="2">
        <f t="shared" si="220"/>
        <v>0</v>
      </c>
      <c r="BQ298" s="2">
        <f t="shared" si="220"/>
        <v>0</v>
      </c>
      <c r="BR298" s="2">
        <f t="shared" si="220"/>
        <v>0</v>
      </c>
      <c r="BS298" s="2">
        <f t="shared" si="220"/>
        <v>0</v>
      </c>
      <c r="BT298" s="2">
        <f t="shared" si="220"/>
        <v>0</v>
      </c>
      <c r="BU298" s="2">
        <f t="shared" si="220"/>
        <v>0</v>
      </c>
      <c r="BV298" s="2">
        <f t="shared" si="220"/>
        <v>0</v>
      </c>
      <c r="BW298" s="2">
        <f t="shared" si="220"/>
        <v>0</v>
      </c>
      <c r="BX298" s="2">
        <f t="shared" si="220"/>
        <v>0</v>
      </c>
      <c r="BY298" s="2">
        <f t="shared" si="220"/>
        <v>0</v>
      </c>
      <c r="BZ298" s="2">
        <f t="shared" si="220"/>
        <v>0</v>
      </c>
      <c r="CA298" s="2">
        <f aca="true" t="shared" si="221" ref="CA298:DF298">CA303</f>
        <v>112.94</v>
      </c>
      <c r="CB298" s="2">
        <f t="shared" si="221"/>
        <v>0</v>
      </c>
      <c r="CC298" s="2">
        <f t="shared" si="221"/>
        <v>0</v>
      </c>
      <c r="CD298" s="2">
        <f t="shared" si="221"/>
        <v>112.94</v>
      </c>
      <c r="CE298" s="2">
        <f t="shared" si="221"/>
        <v>0</v>
      </c>
      <c r="CF298" s="2">
        <f t="shared" si="221"/>
        <v>0</v>
      </c>
      <c r="CG298" s="2">
        <f t="shared" si="221"/>
        <v>0</v>
      </c>
      <c r="CH298" s="2">
        <f t="shared" si="221"/>
        <v>0</v>
      </c>
      <c r="CI298" s="2">
        <f t="shared" si="221"/>
        <v>0</v>
      </c>
      <c r="CJ298" s="2">
        <f t="shared" si="221"/>
        <v>0</v>
      </c>
      <c r="CK298" s="2">
        <f t="shared" si="221"/>
        <v>0</v>
      </c>
      <c r="CL298" s="2">
        <f t="shared" si="221"/>
        <v>0</v>
      </c>
      <c r="CM298" s="2">
        <f t="shared" si="221"/>
        <v>0</v>
      </c>
      <c r="CN298" s="2">
        <f t="shared" si="221"/>
        <v>0</v>
      </c>
      <c r="CO298" s="2">
        <f t="shared" si="221"/>
        <v>0</v>
      </c>
      <c r="CP298" s="2">
        <f t="shared" si="221"/>
        <v>0</v>
      </c>
      <c r="CQ298" s="2">
        <f t="shared" si="221"/>
        <v>0</v>
      </c>
      <c r="CR298" s="2">
        <f t="shared" si="221"/>
        <v>0</v>
      </c>
      <c r="CS298" s="2">
        <f t="shared" si="221"/>
        <v>0</v>
      </c>
      <c r="CT298" s="2">
        <f t="shared" si="221"/>
        <v>0</v>
      </c>
      <c r="CU298" s="2">
        <f t="shared" si="221"/>
        <v>0</v>
      </c>
      <c r="CV298" s="2">
        <f t="shared" si="221"/>
        <v>0</v>
      </c>
      <c r="CW298" s="2">
        <f t="shared" si="221"/>
        <v>0</v>
      </c>
      <c r="CX298" s="2">
        <f t="shared" si="221"/>
        <v>0</v>
      </c>
      <c r="CY298" s="2">
        <f t="shared" si="221"/>
        <v>0</v>
      </c>
      <c r="CZ298" s="2">
        <f t="shared" si="221"/>
        <v>0</v>
      </c>
      <c r="DA298" s="2">
        <f t="shared" si="221"/>
        <v>0</v>
      </c>
      <c r="DB298" s="2">
        <f t="shared" si="221"/>
        <v>0</v>
      </c>
      <c r="DC298" s="2">
        <f t="shared" si="221"/>
        <v>0</v>
      </c>
      <c r="DD298" s="2">
        <f t="shared" si="221"/>
        <v>0</v>
      </c>
      <c r="DE298" s="2">
        <f t="shared" si="221"/>
        <v>0</v>
      </c>
      <c r="DF298" s="2">
        <f t="shared" si="221"/>
        <v>0</v>
      </c>
      <c r="DG298" s="3">
        <f aca="true" t="shared" si="222" ref="DG298:EL298">DG303</f>
        <v>0</v>
      </c>
      <c r="DH298" s="3">
        <f t="shared" si="222"/>
        <v>0</v>
      </c>
      <c r="DI298" s="3">
        <f t="shared" si="222"/>
        <v>0</v>
      </c>
      <c r="DJ298" s="3">
        <f t="shared" si="222"/>
        <v>0</v>
      </c>
      <c r="DK298" s="3">
        <f t="shared" si="222"/>
        <v>0</v>
      </c>
      <c r="DL298" s="3">
        <f t="shared" si="222"/>
        <v>0</v>
      </c>
      <c r="DM298" s="3">
        <f t="shared" si="222"/>
        <v>0</v>
      </c>
      <c r="DN298" s="3">
        <f t="shared" si="222"/>
        <v>0</v>
      </c>
      <c r="DO298" s="3">
        <f t="shared" si="222"/>
        <v>0</v>
      </c>
      <c r="DP298" s="3">
        <f t="shared" si="222"/>
        <v>0</v>
      </c>
      <c r="DQ298" s="3">
        <f t="shared" si="222"/>
        <v>0</v>
      </c>
      <c r="DR298" s="3">
        <f t="shared" si="222"/>
        <v>0</v>
      </c>
      <c r="DS298" s="3">
        <f t="shared" si="222"/>
        <v>0</v>
      </c>
      <c r="DT298" s="3">
        <f t="shared" si="222"/>
        <v>0</v>
      </c>
      <c r="DU298" s="3">
        <f t="shared" si="222"/>
        <v>0</v>
      </c>
      <c r="DV298" s="3">
        <f t="shared" si="222"/>
        <v>0</v>
      </c>
      <c r="DW298" s="3">
        <f t="shared" si="222"/>
        <v>0</v>
      </c>
      <c r="DX298" s="3">
        <f t="shared" si="222"/>
        <v>0</v>
      </c>
      <c r="DY298" s="3">
        <f t="shared" si="222"/>
        <v>0</v>
      </c>
      <c r="DZ298" s="3">
        <f t="shared" si="222"/>
        <v>0</v>
      </c>
      <c r="EA298" s="3">
        <f t="shared" si="222"/>
        <v>0</v>
      </c>
      <c r="EB298" s="3">
        <f t="shared" si="222"/>
        <v>0</v>
      </c>
      <c r="EC298" s="3">
        <f t="shared" si="222"/>
        <v>0</v>
      </c>
      <c r="ED298" s="3">
        <f t="shared" si="222"/>
        <v>0</v>
      </c>
      <c r="EE298" s="3">
        <f t="shared" si="222"/>
        <v>0</v>
      </c>
      <c r="EF298" s="3">
        <f t="shared" si="222"/>
        <v>0</v>
      </c>
      <c r="EG298" s="3">
        <f t="shared" si="222"/>
        <v>0</v>
      </c>
      <c r="EH298" s="3">
        <f t="shared" si="222"/>
        <v>0</v>
      </c>
      <c r="EI298" s="3">
        <f t="shared" si="222"/>
        <v>0</v>
      </c>
      <c r="EJ298" s="3">
        <f t="shared" si="222"/>
        <v>0</v>
      </c>
      <c r="EK298" s="3">
        <f t="shared" si="222"/>
        <v>0</v>
      </c>
      <c r="EL298" s="3">
        <f t="shared" si="222"/>
        <v>0</v>
      </c>
      <c r="EM298" s="3">
        <f aca="true" t="shared" si="223" ref="EM298:FR298">EM303</f>
        <v>0</v>
      </c>
      <c r="EN298" s="3">
        <f t="shared" si="223"/>
        <v>0</v>
      </c>
      <c r="EO298" s="3">
        <f t="shared" si="223"/>
        <v>0</v>
      </c>
      <c r="EP298" s="3">
        <f t="shared" si="223"/>
        <v>0</v>
      </c>
      <c r="EQ298" s="3">
        <f t="shared" si="223"/>
        <v>0</v>
      </c>
      <c r="ER298" s="3">
        <f t="shared" si="223"/>
        <v>0</v>
      </c>
      <c r="ES298" s="3">
        <f t="shared" si="223"/>
        <v>0</v>
      </c>
      <c r="ET298" s="3">
        <f t="shared" si="223"/>
        <v>0</v>
      </c>
      <c r="EU298" s="3">
        <f t="shared" si="223"/>
        <v>0</v>
      </c>
      <c r="EV298" s="3">
        <f t="shared" si="223"/>
        <v>0</v>
      </c>
      <c r="EW298" s="3">
        <f t="shared" si="223"/>
        <v>0</v>
      </c>
      <c r="EX298" s="3">
        <f t="shared" si="223"/>
        <v>0</v>
      </c>
      <c r="EY298" s="3">
        <f t="shared" si="223"/>
        <v>0</v>
      </c>
      <c r="EZ298" s="3">
        <f t="shared" si="223"/>
        <v>0</v>
      </c>
      <c r="FA298" s="3">
        <f t="shared" si="223"/>
        <v>0</v>
      </c>
      <c r="FB298" s="3">
        <f t="shared" si="223"/>
        <v>0</v>
      </c>
      <c r="FC298" s="3">
        <f t="shared" si="223"/>
        <v>0</v>
      </c>
      <c r="FD298" s="3">
        <f t="shared" si="223"/>
        <v>0</v>
      </c>
      <c r="FE298" s="3">
        <f t="shared" si="223"/>
        <v>0</v>
      </c>
      <c r="FF298" s="3">
        <f t="shared" si="223"/>
        <v>0</v>
      </c>
      <c r="FG298" s="3">
        <f t="shared" si="223"/>
        <v>0</v>
      </c>
      <c r="FH298" s="3">
        <f t="shared" si="223"/>
        <v>0</v>
      </c>
      <c r="FI298" s="3">
        <f t="shared" si="223"/>
        <v>0</v>
      </c>
      <c r="FJ298" s="3">
        <f t="shared" si="223"/>
        <v>0</v>
      </c>
      <c r="FK298" s="3">
        <f t="shared" si="223"/>
        <v>0</v>
      </c>
      <c r="FL298" s="3">
        <f t="shared" si="223"/>
        <v>0</v>
      </c>
      <c r="FM298" s="3">
        <f t="shared" si="223"/>
        <v>0</v>
      </c>
      <c r="FN298" s="3">
        <f t="shared" si="223"/>
        <v>0</v>
      </c>
      <c r="FO298" s="3">
        <f t="shared" si="223"/>
        <v>0</v>
      </c>
      <c r="FP298" s="3">
        <f t="shared" si="223"/>
        <v>0</v>
      </c>
      <c r="FQ298" s="3">
        <f t="shared" si="223"/>
        <v>0</v>
      </c>
      <c r="FR298" s="3">
        <f t="shared" si="223"/>
        <v>0</v>
      </c>
      <c r="FS298" s="3">
        <f aca="true" t="shared" si="224" ref="FS298:GX298">FS303</f>
        <v>0</v>
      </c>
      <c r="FT298" s="3">
        <f t="shared" si="224"/>
        <v>0</v>
      </c>
      <c r="FU298" s="3">
        <f t="shared" si="224"/>
        <v>0</v>
      </c>
      <c r="FV298" s="3">
        <f t="shared" si="224"/>
        <v>0</v>
      </c>
      <c r="FW298" s="3">
        <f t="shared" si="224"/>
        <v>0</v>
      </c>
      <c r="FX298" s="3">
        <f t="shared" si="224"/>
        <v>0</v>
      </c>
      <c r="FY298" s="3">
        <f t="shared" si="224"/>
        <v>0</v>
      </c>
      <c r="FZ298" s="3">
        <f t="shared" si="224"/>
        <v>0</v>
      </c>
      <c r="GA298" s="3">
        <f t="shared" si="224"/>
        <v>0</v>
      </c>
      <c r="GB298" s="3">
        <f t="shared" si="224"/>
        <v>0</v>
      </c>
      <c r="GC298" s="3">
        <f t="shared" si="224"/>
        <v>0</v>
      </c>
      <c r="GD298" s="3">
        <f t="shared" si="224"/>
        <v>0</v>
      </c>
      <c r="GE298" s="3">
        <f t="shared" si="224"/>
        <v>0</v>
      </c>
      <c r="GF298" s="3">
        <f t="shared" si="224"/>
        <v>0</v>
      </c>
      <c r="GG298" s="3">
        <f t="shared" si="224"/>
        <v>0</v>
      </c>
      <c r="GH298" s="3">
        <f t="shared" si="224"/>
        <v>0</v>
      </c>
      <c r="GI298" s="3">
        <f t="shared" si="224"/>
        <v>0</v>
      </c>
      <c r="GJ298" s="3">
        <f t="shared" si="224"/>
        <v>0</v>
      </c>
      <c r="GK298" s="3">
        <f t="shared" si="224"/>
        <v>0</v>
      </c>
      <c r="GL298" s="3">
        <f t="shared" si="224"/>
        <v>0</v>
      </c>
      <c r="GM298" s="3">
        <f t="shared" si="224"/>
        <v>0</v>
      </c>
      <c r="GN298" s="3">
        <f t="shared" si="224"/>
        <v>0</v>
      </c>
      <c r="GO298" s="3">
        <f t="shared" si="224"/>
        <v>0</v>
      </c>
      <c r="GP298" s="3">
        <f t="shared" si="224"/>
        <v>0</v>
      </c>
      <c r="GQ298" s="3">
        <f t="shared" si="224"/>
        <v>0</v>
      </c>
      <c r="GR298" s="3">
        <f t="shared" si="224"/>
        <v>0</v>
      </c>
      <c r="GS298" s="3">
        <f t="shared" si="224"/>
        <v>0</v>
      </c>
      <c r="GT298" s="3">
        <f t="shared" si="224"/>
        <v>0</v>
      </c>
      <c r="GU298" s="3">
        <f t="shared" si="224"/>
        <v>0</v>
      </c>
      <c r="GV298" s="3">
        <f t="shared" si="224"/>
        <v>0</v>
      </c>
      <c r="GW298" s="3">
        <f t="shared" si="224"/>
        <v>0</v>
      </c>
      <c r="GX298" s="3">
        <f t="shared" si="224"/>
        <v>0</v>
      </c>
    </row>
    <row r="300" spans="1:245" ht="12.75">
      <c r="A300">
        <v>17</v>
      </c>
      <c r="B300">
        <v>1</v>
      </c>
      <c r="C300">
        <f>ROW(SmtRes!A218)</f>
        <v>218</v>
      </c>
      <c r="D300">
        <f>ROW(EtalonRes!A223)</f>
        <v>223</v>
      </c>
      <c r="E300" t="s">
        <v>369</v>
      </c>
      <c r="F300" t="s">
        <v>370</v>
      </c>
      <c r="G300" t="s">
        <v>371</v>
      </c>
      <c r="H300" t="s">
        <v>372</v>
      </c>
      <c r="I300">
        <f>ROUND(ROUND(4,4),7)</f>
        <v>4</v>
      </c>
      <c r="J300">
        <v>0</v>
      </c>
      <c r="K300">
        <f>ROUND(ROUND(4,4),7)</f>
        <v>4</v>
      </c>
      <c r="O300">
        <f>ROUND(CP300,2)</f>
        <v>49</v>
      </c>
      <c r="P300">
        <f>ROUND(CQ300*I300,2)</f>
        <v>0</v>
      </c>
      <c r="Q300">
        <f>ROUND(CR300*I300,2)</f>
        <v>0</v>
      </c>
      <c r="R300">
        <f>ROUND(CS300*I300,2)</f>
        <v>0</v>
      </c>
      <c r="S300">
        <f>ROUND(CT300*I300,2)</f>
        <v>49</v>
      </c>
      <c r="T300">
        <f>ROUND(CU300*I300,2)</f>
        <v>0</v>
      </c>
      <c r="U300">
        <f>CV300*I300</f>
        <v>3.9359999999999995</v>
      </c>
      <c r="V300">
        <f>CW300*I300</f>
        <v>0</v>
      </c>
      <c r="W300">
        <f>ROUND(CX300*I300,2)</f>
        <v>0</v>
      </c>
      <c r="X300">
        <f>ROUND(CY300,2)</f>
        <v>36.26</v>
      </c>
      <c r="Y300">
        <f>ROUND(CZ300,2)</f>
        <v>17.64</v>
      </c>
      <c r="AA300">
        <v>44571020</v>
      </c>
      <c r="AB300">
        <f>ROUND((AC300+AD300+AF300),2)</f>
        <v>12.25</v>
      </c>
      <c r="AC300">
        <f>ROUND((ES300),2)</f>
        <v>0</v>
      </c>
      <c r="AD300">
        <f>ROUND((((ET300)-(EU300))+AE300),2)</f>
        <v>0</v>
      </c>
      <c r="AE300">
        <f>ROUND((EU300),2)</f>
        <v>0</v>
      </c>
      <c r="AF300">
        <f>ROUND(((EV300*ROUND(1.2,7))),2)</f>
        <v>12.25</v>
      </c>
      <c r="AG300">
        <f>ROUND((AP300),2)</f>
        <v>0</v>
      </c>
      <c r="AH300">
        <f>((EW300*ROUND(1.2,7)))</f>
        <v>0.9839999999999999</v>
      </c>
      <c r="AI300">
        <f>(EX300)</f>
        <v>0</v>
      </c>
      <c r="AJ300">
        <f>(AS300)</f>
        <v>0</v>
      </c>
      <c r="AK300">
        <v>10.21</v>
      </c>
      <c r="AL300">
        <v>0</v>
      </c>
      <c r="AM300">
        <v>0</v>
      </c>
      <c r="AN300">
        <v>0</v>
      </c>
      <c r="AO300">
        <v>10.21</v>
      </c>
      <c r="AP300">
        <v>0</v>
      </c>
      <c r="AQ300">
        <v>0.82</v>
      </c>
      <c r="AR300">
        <v>0</v>
      </c>
      <c r="AS300">
        <v>0</v>
      </c>
      <c r="AT300">
        <v>74</v>
      </c>
      <c r="AU300">
        <v>36</v>
      </c>
      <c r="AV300">
        <v>1</v>
      </c>
      <c r="AW300">
        <v>1</v>
      </c>
      <c r="AZ300">
        <v>1</v>
      </c>
      <c r="BA300">
        <v>28.93</v>
      </c>
      <c r="BB300">
        <v>1</v>
      </c>
      <c r="BC300">
        <v>1</v>
      </c>
      <c r="BH300">
        <v>0</v>
      </c>
      <c r="BI300">
        <v>4</v>
      </c>
      <c r="BJ300" t="s">
        <v>373</v>
      </c>
      <c r="BM300">
        <v>200001</v>
      </c>
      <c r="BN300">
        <v>0</v>
      </c>
      <c r="BP300">
        <v>0</v>
      </c>
      <c r="BQ300">
        <v>4</v>
      </c>
      <c r="BR300">
        <v>0</v>
      </c>
      <c r="BS300">
        <v>1</v>
      </c>
      <c r="BT300">
        <v>1</v>
      </c>
      <c r="BU300">
        <v>1</v>
      </c>
      <c r="BV300">
        <v>1</v>
      </c>
      <c r="BW300">
        <v>1</v>
      </c>
      <c r="BX300">
        <v>1</v>
      </c>
      <c r="BZ300">
        <v>74</v>
      </c>
      <c r="CA300">
        <v>36</v>
      </c>
      <c r="CE300">
        <v>0</v>
      </c>
      <c r="CF300">
        <v>0</v>
      </c>
      <c r="CG300">
        <v>0</v>
      </c>
      <c r="CM300">
        <v>0</v>
      </c>
      <c r="CO300">
        <v>0</v>
      </c>
      <c r="CP300">
        <f>(P300+Q300+S300)</f>
        <v>49</v>
      </c>
      <c r="CQ300">
        <f>AC300*BC300</f>
        <v>0</v>
      </c>
      <c r="CR300">
        <f>AD300*BB300</f>
        <v>0</v>
      </c>
      <c r="CS300">
        <f aca="true" t="shared" si="225" ref="CS300:CX301">AE300</f>
        <v>0</v>
      </c>
      <c r="CT300">
        <f t="shared" si="225"/>
        <v>12.25</v>
      </c>
      <c r="CU300">
        <f t="shared" si="225"/>
        <v>0</v>
      </c>
      <c r="CV300">
        <f t="shared" si="225"/>
        <v>0.9839999999999999</v>
      </c>
      <c r="CW300">
        <f t="shared" si="225"/>
        <v>0</v>
      </c>
      <c r="CX300">
        <f t="shared" si="225"/>
        <v>0</v>
      </c>
      <c r="CY300">
        <f>(((S300+R300)*AT300)/100)</f>
        <v>36.26</v>
      </c>
      <c r="CZ300">
        <f>(((S300+R300)*AU300)/100)</f>
        <v>17.64</v>
      </c>
      <c r="DG300" t="s">
        <v>374</v>
      </c>
      <c r="DI300" t="s">
        <v>374</v>
      </c>
      <c r="DN300">
        <v>0</v>
      </c>
      <c r="DO300">
        <v>0</v>
      </c>
      <c r="DP300">
        <v>1</v>
      </c>
      <c r="DQ300">
        <v>1</v>
      </c>
      <c r="DU300">
        <v>1013</v>
      </c>
      <c r="DV300" t="s">
        <v>372</v>
      </c>
      <c r="DW300" t="s">
        <v>372</v>
      </c>
      <c r="DX300">
        <v>1</v>
      </c>
      <c r="EE300">
        <v>37975969</v>
      </c>
      <c r="EF300">
        <v>4</v>
      </c>
      <c r="EG300" t="s">
        <v>368</v>
      </c>
      <c r="EH300">
        <v>83</v>
      </c>
      <c r="EI300" t="s">
        <v>368</v>
      </c>
      <c r="EJ300">
        <v>4</v>
      </c>
      <c r="EK300">
        <v>200001</v>
      </c>
      <c r="EL300" t="s">
        <v>375</v>
      </c>
      <c r="EM300" t="s">
        <v>376</v>
      </c>
      <c r="EQ300">
        <v>0</v>
      </c>
      <c r="ER300">
        <v>10.21</v>
      </c>
      <c r="ES300">
        <v>0</v>
      </c>
      <c r="ET300">
        <v>0</v>
      </c>
      <c r="EU300">
        <v>0</v>
      </c>
      <c r="EV300">
        <v>10.21</v>
      </c>
      <c r="EW300">
        <v>0.82</v>
      </c>
      <c r="EX300">
        <v>0</v>
      </c>
      <c r="EY300">
        <v>0</v>
      </c>
      <c r="FQ300">
        <v>0</v>
      </c>
      <c r="FR300">
        <f>ROUND(IF(AND(BH300=3,BI300=3),P300,0),2)</f>
        <v>0</v>
      </c>
      <c r="FS300">
        <v>0</v>
      </c>
      <c r="FX300">
        <v>74</v>
      </c>
      <c r="FY300">
        <v>36</v>
      </c>
      <c r="GD300">
        <v>1</v>
      </c>
      <c r="GF300">
        <v>-1102363500</v>
      </c>
      <c r="GG300">
        <v>2</v>
      </c>
      <c r="GH300">
        <v>1</v>
      </c>
      <c r="GI300">
        <v>4</v>
      </c>
      <c r="GJ300">
        <v>0</v>
      </c>
      <c r="GK300">
        <v>0</v>
      </c>
      <c r="GL300">
        <f>ROUND(IF(AND(BH300=3,BI300=3,FS300&lt;&gt;0),P300,0),2)</f>
        <v>0</v>
      </c>
      <c r="GM300">
        <f>ROUND(O300+X300+Y300,2)+GX300</f>
        <v>102.9</v>
      </c>
      <c r="GN300">
        <f>IF(OR(BI300=0,BI300=1),ROUND(O300+X300+Y300,2),0)</f>
        <v>0</v>
      </c>
      <c r="GO300">
        <f>IF(BI300=2,ROUND(O300+X300+Y300,2),0)</f>
        <v>0</v>
      </c>
      <c r="GP300">
        <f>IF(BI300=4,ROUND(O300+X300+Y300,2)+GX300,0)</f>
        <v>102.9</v>
      </c>
      <c r="GR300">
        <v>0</v>
      </c>
      <c r="GS300">
        <v>3</v>
      </c>
      <c r="GT300">
        <v>0</v>
      </c>
      <c r="GV300">
        <f>ROUND((GT300),2)</f>
        <v>0</v>
      </c>
      <c r="GW300">
        <v>1</v>
      </c>
      <c r="GX300">
        <f>ROUND(HC300*I300,2)</f>
        <v>0</v>
      </c>
      <c r="HA300">
        <v>0</v>
      </c>
      <c r="HB300">
        <v>0</v>
      </c>
      <c r="HC300">
        <f>GV300*GW300</f>
        <v>0</v>
      </c>
      <c r="HI300">
        <f>ROUND(R300*BS300,2)</f>
        <v>0</v>
      </c>
      <c r="HJ300">
        <f>ROUND(S300*BA300,2)</f>
        <v>1417.57</v>
      </c>
      <c r="HK300">
        <f>ROUND((((HJ300+HI300)*AT300)/100),2)</f>
        <v>1049</v>
      </c>
      <c r="HL300">
        <f>ROUND((((HJ300+HI300)*AU300)/100),2)</f>
        <v>510.33</v>
      </c>
      <c r="HN300" t="s">
        <v>377</v>
      </c>
      <c r="HO300" t="s">
        <v>378</v>
      </c>
      <c r="HP300" t="s">
        <v>368</v>
      </c>
      <c r="HQ300" t="s">
        <v>368</v>
      </c>
      <c r="IK300">
        <v>0</v>
      </c>
    </row>
    <row r="301" spans="1:245" ht="12.75">
      <c r="A301">
        <v>17</v>
      </c>
      <c r="B301">
        <v>1</v>
      </c>
      <c r="C301">
        <f>ROW(SmtRes!A221)</f>
        <v>221</v>
      </c>
      <c r="D301">
        <f>ROW(EtalonRes!A226)</f>
        <v>226</v>
      </c>
      <c r="E301" t="s">
        <v>379</v>
      </c>
      <c r="F301" t="s">
        <v>380</v>
      </c>
      <c r="G301" t="s">
        <v>381</v>
      </c>
      <c r="H301" t="s">
        <v>382</v>
      </c>
      <c r="I301">
        <f>ROUND(ROUND(1,4),7)</f>
        <v>1</v>
      </c>
      <c r="J301">
        <v>0</v>
      </c>
      <c r="K301">
        <f>ROUND(ROUND(1,4),7)</f>
        <v>1</v>
      </c>
      <c r="O301">
        <f>ROUND(CP301,2)</f>
        <v>4.78</v>
      </c>
      <c r="P301">
        <f>ROUND(CQ301*I301,2)</f>
        <v>0</v>
      </c>
      <c r="Q301">
        <f>ROUND(CR301*I301,2)</f>
        <v>0</v>
      </c>
      <c r="R301">
        <f>ROUND(CS301*I301,2)</f>
        <v>0</v>
      </c>
      <c r="S301">
        <f>ROUND(CT301*I301,2)</f>
        <v>4.78</v>
      </c>
      <c r="T301">
        <f>ROUND(CU301*I301,2)</f>
        <v>0</v>
      </c>
      <c r="U301">
        <f>CV301*I301</f>
        <v>0.384</v>
      </c>
      <c r="V301">
        <f>CW301*I301</f>
        <v>0</v>
      </c>
      <c r="W301">
        <f>ROUND(CX301*I301,2)</f>
        <v>0</v>
      </c>
      <c r="X301">
        <f>ROUND(CY301,2)</f>
        <v>3.54</v>
      </c>
      <c r="Y301">
        <f>ROUND(CZ301,2)</f>
        <v>1.72</v>
      </c>
      <c r="AA301">
        <v>44571020</v>
      </c>
      <c r="AB301">
        <f>ROUND((AC301+AD301+AF301),2)</f>
        <v>4.78</v>
      </c>
      <c r="AC301">
        <f>ROUND((ES301),2)</f>
        <v>0</v>
      </c>
      <c r="AD301">
        <f>ROUND((((ET301)-(EU301))+AE301),2)</f>
        <v>0</v>
      </c>
      <c r="AE301">
        <f>ROUND((EU301),2)</f>
        <v>0</v>
      </c>
      <c r="AF301">
        <f>ROUND(((EV301*ROUND(1.2,7))),2)</f>
        <v>4.78</v>
      </c>
      <c r="AG301">
        <f>ROUND((AP301),2)</f>
        <v>0</v>
      </c>
      <c r="AH301">
        <f>((EW301*ROUND(1.2,7)))</f>
        <v>0.384</v>
      </c>
      <c r="AI301">
        <f>(EX301)</f>
        <v>0</v>
      </c>
      <c r="AJ301">
        <f>(AS301)</f>
        <v>0</v>
      </c>
      <c r="AK301">
        <v>3.98</v>
      </c>
      <c r="AL301">
        <v>0</v>
      </c>
      <c r="AM301">
        <v>0</v>
      </c>
      <c r="AN301">
        <v>0</v>
      </c>
      <c r="AO301">
        <v>3.98</v>
      </c>
      <c r="AP301">
        <v>0</v>
      </c>
      <c r="AQ301">
        <v>0.32</v>
      </c>
      <c r="AR301">
        <v>0</v>
      </c>
      <c r="AS301">
        <v>0</v>
      </c>
      <c r="AT301">
        <v>74</v>
      </c>
      <c r="AU301">
        <v>36</v>
      </c>
      <c r="AV301">
        <v>1</v>
      </c>
      <c r="AW301">
        <v>1</v>
      </c>
      <c r="AZ301">
        <v>1</v>
      </c>
      <c r="BA301">
        <v>28.93</v>
      </c>
      <c r="BB301">
        <v>1</v>
      </c>
      <c r="BC301">
        <v>1</v>
      </c>
      <c r="BH301">
        <v>0</v>
      </c>
      <c r="BI301">
        <v>4</v>
      </c>
      <c r="BJ301" t="s">
        <v>383</v>
      </c>
      <c r="BM301">
        <v>200001</v>
      </c>
      <c r="BN301">
        <v>0</v>
      </c>
      <c r="BP301">
        <v>0</v>
      </c>
      <c r="BQ301">
        <v>4</v>
      </c>
      <c r="BR301">
        <v>0</v>
      </c>
      <c r="BS301">
        <v>1</v>
      </c>
      <c r="BT301">
        <v>1</v>
      </c>
      <c r="BU301">
        <v>1</v>
      </c>
      <c r="BV301">
        <v>1</v>
      </c>
      <c r="BW301">
        <v>1</v>
      </c>
      <c r="BX301">
        <v>1</v>
      </c>
      <c r="BZ301">
        <v>74</v>
      </c>
      <c r="CA301">
        <v>36</v>
      </c>
      <c r="CE301">
        <v>0</v>
      </c>
      <c r="CF301">
        <v>0</v>
      </c>
      <c r="CG301">
        <v>0</v>
      </c>
      <c r="CM301">
        <v>0</v>
      </c>
      <c r="CO301">
        <v>0</v>
      </c>
      <c r="CP301">
        <f>(P301+Q301+S301)</f>
        <v>4.78</v>
      </c>
      <c r="CQ301">
        <f>AC301*BC301</f>
        <v>0</v>
      </c>
      <c r="CR301">
        <f>AD301*BB301</f>
        <v>0</v>
      </c>
      <c r="CS301">
        <f t="shared" si="225"/>
        <v>0</v>
      </c>
      <c r="CT301">
        <f t="shared" si="225"/>
        <v>4.78</v>
      </c>
      <c r="CU301">
        <f t="shared" si="225"/>
        <v>0</v>
      </c>
      <c r="CV301">
        <f t="shared" si="225"/>
        <v>0.384</v>
      </c>
      <c r="CW301">
        <f t="shared" si="225"/>
        <v>0</v>
      </c>
      <c r="CX301">
        <f t="shared" si="225"/>
        <v>0</v>
      </c>
      <c r="CY301">
        <f>(((S301+R301)*AT301)/100)</f>
        <v>3.5372000000000003</v>
      </c>
      <c r="CZ301">
        <f>(((S301+R301)*AU301)/100)</f>
        <v>1.7208</v>
      </c>
      <c r="DG301" t="s">
        <v>374</v>
      </c>
      <c r="DI301" t="s">
        <v>374</v>
      </c>
      <c r="DN301">
        <v>0</v>
      </c>
      <c r="DO301">
        <v>0</v>
      </c>
      <c r="DP301">
        <v>1</v>
      </c>
      <c r="DQ301">
        <v>1</v>
      </c>
      <c r="DU301">
        <v>1013</v>
      </c>
      <c r="DV301" t="s">
        <v>382</v>
      </c>
      <c r="DW301" t="s">
        <v>382</v>
      </c>
      <c r="DX301">
        <v>1</v>
      </c>
      <c r="EE301">
        <v>37975969</v>
      </c>
      <c r="EF301">
        <v>4</v>
      </c>
      <c r="EG301" t="s">
        <v>368</v>
      </c>
      <c r="EH301">
        <v>83</v>
      </c>
      <c r="EI301" t="s">
        <v>368</v>
      </c>
      <c r="EJ301">
        <v>4</v>
      </c>
      <c r="EK301">
        <v>200001</v>
      </c>
      <c r="EL301" t="s">
        <v>375</v>
      </c>
      <c r="EM301" t="s">
        <v>376</v>
      </c>
      <c r="EQ301">
        <v>0</v>
      </c>
      <c r="ER301">
        <v>3.98</v>
      </c>
      <c r="ES301">
        <v>0</v>
      </c>
      <c r="ET301">
        <v>0</v>
      </c>
      <c r="EU301">
        <v>0</v>
      </c>
      <c r="EV301">
        <v>3.98</v>
      </c>
      <c r="EW301">
        <v>0.32</v>
      </c>
      <c r="EX301">
        <v>0</v>
      </c>
      <c r="EY301">
        <v>0</v>
      </c>
      <c r="FQ301">
        <v>0</v>
      </c>
      <c r="FR301">
        <f>ROUND(IF(AND(BH301=3,BI301=3),P301,0),2)</f>
        <v>0</v>
      </c>
      <c r="FS301">
        <v>0</v>
      </c>
      <c r="FX301">
        <v>74</v>
      </c>
      <c r="FY301">
        <v>36</v>
      </c>
      <c r="GD301">
        <v>1</v>
      </c>
      <c r="GF301">
        <v>-924529310</v>
      </c>
      <c r="GG301">
        <v>2</v>
      </c>
      <c r="GH301">
        <v>1</v>
      </c>
      <c r="GI301">
        <v>4</v>
      </c>
      <c r="GJ301">
        <v>0</v>
      </c>
      <c r="GK301">
        <v>0</v>
      </c>
      <c r="GL301">
        <f>ROUND(IF(AND(BH301=3,BI301=3,FS301&lt;&gt;0),P301,0),2)</f>
        <v>0</v>
      </c>
      <c r="GM301">
        <f>ROUND(O301+X301+Y301,2)+GX301</f>
        <v>10.04</v>
      </c>
      <c r="GN301">
        <f>IF(OR(BI301=0,BI301=1),ROUND(O301+X301+Y301,2),0)</f>
        <v>0</v>
      </c>
      <c r="GO301">
        <f>IF(BI301=2,ROUND(O301+X301+Y301,2),0)</f>
        <v>0</v>
      </c>
      <c r="GP301">
        <f>IF(BI301=4,ROUND(O301+X301+Y301,2)+GX301,0)</f>
        <v>10.04</v>
      </c>
      <c r="GR301">
        <v>0</v>
      </c>
      <c r="GS301">
        <v>3</v>
      </c>
      <c r="GT301">
        <v>0</v>
      </c>
      <c r="GV301">
        <f>ROUND((GT301),2)</f>
        <v>0</v>
      </c>
      <c r="GW301">
        <v>1</v>
      </c>
      <c r="GX301">
        <f>ROUND(HC301*I301,2)</f>
        <v>0</v>
      </c>
      <c r="HA301">
        <v>0</v>
      </c>
      <c r="HB301">
        <v>0</v>
      </c>
      <c r="HC301">
        <f>GV301*GW301</f>
        <v>0</v>
      </c>
      <c r="HI301">
        <f>ROUND(R301*BS301,2)</f>
        <v>0</v>
      </c>
      <c r="HJ301">
        <f>ROUND(S301*BA301,2)</f>
        <v>138.29</v>
      </c>
      <c r="HK301">
        <f>ROUND((((HJ301+HI301)*AT301)/100),2)</f>
        <v>102.33</v>
      </c>
      <c r="HL301">
        <f>ROUND((((HJ301+HI301)*AU301)/100),2)</f>
        <v>49.78</v>
      </c>
      <c r="HN301" t="s">
        <v>377</v>
      </c>
      <c r="HO301" t="s">
        <v>378</v>
      </c>
      <c r="HP301" t="s">
        <v>368</v>
      </c>
      <c r="HQ301" t="s">
        <v>368</v>
      </c>
      <c r="IK301">
        <v>0</v>
      </c>
    </row>
    <row r="303" spans="1:206" ht="12.75">
      <c r="A303" s="2">
        <v>51</v>
      </c>
      <c r="B303" s="2">
        <f>B296</f>
        <v>1</v>
      </c>
      <c r="C303" s="2">
        <f>A296</f>
        <v>4</v>
      </c>
      <c r="D303" s="2">
        <f>ROW(A296)</f>
        <v>296</v>
      </c>
      <c r="E303" s="2"/>
      <c r="F303" s="2" t="str">
        <f>IF(F296&lt;&gt;"",F296,"")</f>
        <v>Новый раздел</v>
      </c>
      <c r="G303" s="2" t="str">
        <f>IF(G296&lt;&gt;"",G296,"")</f>
        <v>Пусконаладочные работы</v>
      </c>
      <c r="H303" s="2">
        <v>0</v>
      </c>
      <c r="I303" s="2"/>
      <c r="J303" s="2"/>
      <c r="K303" s="2"/>
      <c r="L303" s="2"/>
      <c r="M303" s="2"/>
      <c r="N303" s="2"/>
      <c r="O303" s="2">
        <f aca="true" t="shared" si="226" ref="O303:T303">ROUND(AB303,2)</f>
        <v>53.78</v>
      </c>
      <c r="P303" s="2">
        <f t="shared" si="226"/>
        <v>0</v>
      </c>
      <c r="Q303" s="2">
        <f t="shared" si="226"/>
        <v>0</v>
      </c>
      <c r="R303" s="2">
        <f t="shared" si="226"/>
        <v>0</v>
      </c>
      <c r="S303" s="2">
        <f t="shared" si="226"/>
        <v>53.78</v>
      </c>
      <c r="T303" s="2">
        <f t="shared" si="226"/>
        <v>0</v>
      </c>
      <c r="U303" s="2">
        <f>AH303</f>
        <v>4.319999999999999</v>
      </c>
      <c r="V303" s="2">
        <f>AI303</f>
        <v>0</v>
      </c>
      <c r="W303" s="2">
        <f>ROUND(AJ303,2)</f>
        <v>0</v>
      </c>
      <c r="X303" s="2">
        <f>ROUND(AK303,2)</f>
        <v>39.8</v>
      </c>
      <c r="Y303" s="2">
        <f>ROUND(AL303,2)</f>
        <v>19.36</v>
      </c>
      <c r="Z303" s="2"/>
      <c r="AA303" s="2"/>
      <c r="AB303" s="2">
        <f>ROUND(SUMIF(AA300:AA301,"=44571020",O300:O301),2)</f>
        <v>53.78</v>
      </c>
      <c r="AC303" s="2">
        <f>ROUND(SUMIF(AA300:AA301,"=44571020",P300:P301),2)</f>
        <v>0</v>
      </c>
      <c r="AD303" s="2">
        <f>ROUND(SUMIF(AA300:AA301,"=44571020",Q300:Q301),2)</f>
        <v>0</v>
      </c>
      <c r="AE303" s="2">
        <f>ROUND(SUMIF(AA300:AA301,"=44571020",R300:R301),2)</f>
        <v>0</v>
      </c>
      <c r="AF303" s="2">
        <f>ROUND(SUMIF(AA300:AA301,"=44571020",S300:S301),2)</f>
        <v>53.78</v>
      </c>
      <c r="AG303" s="2">
        <f>ROUND(SUMIF(AA300:AA301,"=44571020",T300:T301),2)</f>
        <v>0</v>
      </c>
      <c r="AH303" s="2">
        <f>SUMIF(AA300:AA301,"=44571020",U300:U301)</f>
        <v>4.319999999999999</v>
      </c>
      <c r="AI303" s="2">
        <f>SUMIF(AA300:AA301,"=44571020",V300:V301)</f>
        <v>0</v>
      </c>
      <c r="AJ303" s="2">
        <f>ROUND(SUMIF(AA300:AA301,"=44571020",W300:W301),2)</f>
        <v>0</v>
      </c>
      <c r="AK303" s="2">
        <f>ROUND(SUMIF(AA300:AA301,"=44571020",X300:X301),2)</f>
        <v>39.8</v>
      </c>
      <c r="AL303" s="2">
        <f>ROUND(SUMIF(AA300:AA301,"=44571020",Y300:Y301),2)</f>
        <v>19.36</v>
      </c>
      <c r="AM303" s="2"/>
      <c r="AN303" s="2"/>
      <c r="AO303" s="2">
        <f aca="true" t="shared" si="227" ref="AO303:BD303">ROUND(BX303,2)</f>
        <v>0</v>
      </c>
      <c r="AP303" s="2">
        <f t="shared" si="227"/>
        <v>0</v>
      </c>
      <c r="AQ303" s="2">
        <f t="shared" si="227"/>
        <v>0</v>
      </c>
      <c r="AR303" s="2">
        <f t="shared" si="227"/>
        <v>112.94</v>
      </c>
      <c r="AS303" s="2">
        <f t="shared" si="227"/>
        <v>0</v>
      </c>
      <c r="AT303" s="2">
        <f t="shared" si="227"/>
        <v>0</v>
      </c>
      <c r="AU303" s="2">
        <f t="shared" si="227"/>
        <v>112.94</v>
      </c>
      <c r="AV303" s="2">
        <f t="shared" si="227"/>
        <v>0</v>
      </c>
      <c r="AW303" s="2">
        <f t="shared" si="227"/>
        <v>0</v>
      </c>
      <c r="AX303" s="2">
        <f t="shared" si="227"/>
        <v>0</v>
      </c>
      <c r="AY303" s="2">
        <f t="shared" si="227"/>
        <v>0</v>
      </c>
      <c r="AZ303" s="2">
        <f t="shared" si="227"/>
        <v>0</v>
      </c>
      <c r="BA303" s="2">
        <f t="shared" si="227"/>
        <v>0</v>
      </c>
      <c r="BB303" s="2">
        <f t="shared" si="227"/>
        <v>0</v>
      </c>
      <c r="BC303" s="2">
        <f t="shared" si="227"/>
        <v>0</v>
      </c>
      <c r="BD303" s="2">
        <f t="shared" si="227"/>
        <v>0</v>
      </c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>
        <f>ROUND(SUMIF(AA300:AA301,"=44571020",FQ300:FQ301),2)</f>
        <v>0</v>
      </c>
      <c r="BY303" s="2">
        <f>ROUND(SUMIF(AA300:AA301,"=44571020",FR300:FR301),2)</f>
        <v>0</v>
      </c>
      <c r="BZ303" s="2">
        <f>ROUND(SUMIF(AA300:AA301,"=44571020",GL300:GL301),2)</f>
        <v>0</v>
      </c>
      <c r="CA303" s="2">
        <f>ROUND(SUMIF(AA300:AA301,"=44571020",GM300:GM301),2)</f>
        <v>112.94</v>
      </c>
      <c r="CB303" s="2">
        <f>ROUND(SUMIF(AA300:AA301,"=44571020",GN300:GN301),2)</f>
        <v>0</v>
      </c>
      <c r="CC303" s="2">
        <f>ROUND(SUMIF(AA300:AA301,"=44571020",GO300:GO301),2)</f>
        <v>0</v>
      </c>
      <c r="CD303" s="2">
        <f>ROUND(SUMIF(AA300:AA301,"=44571020",GP300:GP301),2)</f>
        <v>112.94</v>
      </c>
      <c r="CE303" s="2">
        <f>AC303-BX303</f>
        <v>0</v>
      </c>
      <c r="CF303" s="2">
        <f>AC303-BY303</f>
        <v>0</v>
      </c>
      <c r="CG303" s="2">
        <f>BX303-BZ303</f>
        <v>0</v>
      </c>
      <c r="CH303" s="2">
        <f>AC303-BX303-BY303+BZ303</f>
        <v>0</v>
      </c>
      <c r="CI303" s="2">
        <f>BY303-BZ303</f>
        <v>0</v>
      </c>
      <c r="CJ303" s="2">
        <f>ROUND(SUMIF(AA300:AA301,"=44571020",GX300:GX301),2)</f>
        <v>0</v>
      </c>
      <c r="CK303" s="2">
        <f>ROUND(SUMIF(AA300:AA301,"=44571020",GY300:GY301),2)</f>
        <v>0</v>
      </c>
      <c r="CL303" s="2">
        <f>ROUND(SUMIF(AA300:AA301,"=44571020",GZ300:GZ301),2)</f>
        <v>0</v>
      </c>
      <c r="CM303" s="2">
        <f>ROUND(SUMIF(AA300:AA301,"=44571020",HD300:HD301),2)</f>
        <v>0</v>
      </c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>
        <v>0</v>
      </c>
    </row>
    <row r="305" spans="1:28" ht="12.75">
      <c r="A305" s="4">
        <v>50</v>
      </c>
      <c r="B305" s="4">
        <v>0</v>
      </c>
      <c r="C305" s="4">
        <v>0</v>
      </c>
      <c r="D305" s="4">
        <v>1</v>
      </c>
      <c r="E305" s="4">
        <v>0</v>
      </c>
      <c r="F305" s="4">
        <f>ROUND(Source!O303,O305)</f>
        <v>53.78</v>
      </c>
      <c r="G305" s="4" t="s">
        <v>95</v>
      </c>
      <c r="H305" s="4" t="s">
        <v>96</v>
      </c>
      <c r="I305" s="4"/>
      <c r="J305" s="4"/>
      <c r="K305" s="4">
        <v>201</v>
      </c>
      <c r="L305" s="4">
        <v>1</v>
      </c>
      <c r="M305" s="4">
        <v>3</v>
      </c>
      <c r="N305" s="4" t="s">
        <v>3</v>
      </c>
      <c r="O305" s="4">
        <v>2</v>
      </c>
      <c r="P305" s="4"/>
      <c r="Q305" s="4"/>
      <c r="R305" s="4"/>
      <c r="S305" s="4"/>
      <c r="T305" s="4"/>
      <c r="U305" s="4"/>
      <c r="V305" s="4"/>
      <c r="W305" s="4">
        <v>53.78</v>
      </c>
      <c r="X305" s="4">
        <v>1</v>
      </c>
      <c r="Y305" s="4">
        <v>1555.86</v>
      </c>
      <c r="Z305" s="4"/>
      <c r="AA305" s="4"/>
      <c r="AB305" s="4"/>
    </row>
    <row r="306" spans="1:28" ht="12.75">
      <c r="A306" s="4">
        <v>50</v>
      </c>
      <c r="B306" s="4">
        <v>0</v>
      </c>
      <c r="C306" s="4">
        <v>0</v>
      </c>
      <c r="D306" s="4">
        <v>1</v>
      </c>
      <c r="E306" s="4">
        <v>202</v>
      </c>
      <c r="F306" s="4">
        <f>ROUND(Source!P303,O306)</f>
        <v>0</v>
      </c>
      <c r="G306" s="4" t="s">
        <v>97</v>
      </c>
      <c r="H306" s="4" t="s">
        <v>98</v>
      </c>
      <c r="I306" s="4"/>
      <c r="J306" s="4"/>
      <c r="K306" s="4">
        <v>202</v>
      </c>
      <c r="L306" s="4">
        <v>2</v>
      </c>
      <c r="M306" s="4">
        <v>3</v>
      </c>
      <c r="N306" s="4" t="s">
        <v>3</v>
      </c>
      <c r="O306" s="4">
        <v>2</v>
      </c>
      <c r="P306" s="4"/>
      <c r="Q306" s="4"/>
      <c r="R306" s="4"/>
      <c r="S306" s="4"/>
      <c r="T306" s="4"/>
      <c r="U306" s="4"/>
      <c r="V306" s="4"/>
      <c r="W306" s="4">
        <v>0</v>
      </c>
      <c r="X306" s="4">
        <v>1</v>
      </c>
      <c r="Y306" s="4">
        <v>0</v>
      </c>
      <c r="Z306" s="4"/>
      <c r="AA306" s="4"/>
      <c r="AB306" s="4"/>
    </row>
    <row r="307" spans="1:28" ht="12.75">
      <c r="A307" s="4">
        <v>50</v>
      </c>
      <c r="B307" s="4">
        <v>0</v>
      </c>
      <c r="C307" s="4">
        <v>0</v>
      </c>
      <c r="D307" s="4">
        <v>1</v>
      </c>
      <c r="E307" s="4">
        <v>222</v>
      </c>
      <c r="F307" s="4">
        <f>ROUND(Source!AO303,O307)</f>
        <v>0</v>
      </c>
      <c r="G307" s="4" t="s">
        <v>99</v>
      </c>
      <c r="H307" s="4" t="s">
        <v>100</v>
      </c>
      <c r="I307" s="4"/>
      <c r="J307" s="4"/>
      <c r="K307" s="4">
        <v>222</v>
      </c>
      <c r="L307" s="4">
        <v>3</v>
      </c>
      <c r="M307" s="4">
        <v>3</v>
      </c>
      <c r="N307" s="4" t="s">
        <v>3</v>
      </c>
      <c r="O307" s="4">
        <v>2</v>
      </c>
      <c r="P307" s="4"/>
      <c r="Q307" s="4"/>
      <c r="R307" s="4"/>
      <c r="S307" s="4"/>
      <c r="T307" s="4"/>
      <c r="U307" s="4"/>
      <c r="V307" s="4"/>
      <c r="W307" s="4">
        <v>0</v>
      </c>
      <c r="X307" s="4">
        <v>1</v>
      </c>
      <c r="Y307" s="4">
        <v>0</v>
      </c>
      <c r="Z307" s="4"/>
      <c r="AA307" s="4"/>
      <c r="AB307" s="4"/>
    </row>
    <row r="308" spans="1:28" ht="12.75">
      <c r="A308" s="4">
        <v>50</v>
      </c>
      <c r="B308" s="4">
        <v>0</v>
      </c>
      <c r="C308" s="4">
        <v>0</v>
      </c>
      <c r="D308" s="4">
        <v>1</v>
      </c>
      <c r="E308" s="4">
        <v>225</v>
      </c>
      <c r="F308" s="4">
        <f>ROUND(Source!AV303,O308)</f>
        <v>0</v>
      </c>
      <c r="G308" s="4" t="s">
        <v>101</v>
      </c>
      <c r="H308" s="4" t="s">
        <v>102</v>
      </c>
      <c r="I308" s="4"/>
      <c r="J308" s="4"/>
      <c r="K308" s="4">
        <v>225</v>
      </c>
      <c r="L308" s="4">
        <v>4</v>
      </c>
      <c r="M308" s="4">
        <v>3</v>
      </c>
      <c r="N308" s="4" t="s">
        <v>3</v>
      </c>
      <c r="O308" s="4">
        <v>2</v>
      </c>
      <c r="P308" s="4"/>
      <c r="Q308" s="4"/>
      <c r="R308" s="4"/>
      <c r="S308" s="4"/>
      <c r="T308" s="4"/>
      <c r="U308" s="4"/>
      <c r="V308" s="4"/>
      <c r="W308" s="4">
        <v>0</v>
      </c>
      <c r="X308" s="4">
        <v>1</v>
      </c>
      <c r="Y308" s="4">
        <v>0</v>
      </c>
      <c r="Z308" s="4"/>
      <c r="AA308" s="4"/>
      <c r="AB308" s="4"/>
    </row>
    <row r="309" spans="1:28" ht="12.75">
      <c r="A309" s="4">
        <v>50</v>
      </c>
      <c r="B309" s="4">
        <v>0</v>
      </c>
      <c r="C309" s="4">
        <v>0</v>
      </c>
      <c r="D309" s="4">
        <v>1</v>
      </c>
      <c r="E309" s="4">
        <v>226</v>
      </c>
      <c r="F309" s="4">
        <f>ROUND(Source!AW303,O309)</f>
        <v>0</v>
      </c>
      <c r="G309" s="4" t="s">
        <v>103</v>
      </c>
      <c r="H309" s="4" t="s">
        <v>104</v>
      </c>
      <c r="I309" s="4"/>
      <c r="J309" s="4"/>
      <c r="K309" s="4">
        <v>226</v>
      </c>
      <c r="L309" s="4">
        <v>5</v>
      </c>
      <c r="M309" s="4">
        <v>3</v>
      </c>
      <c r="N309" s="4" t="s">
        <v>3</v>
      </c>
      <c r="O309" s="4">
        <v>2</v>
      </c>
      <c r="P309" s="4"/>
      <c r="Q309" s="4"/>
      <c r="R309" s="4"/>
      <c r="S309" s="4"/>
      <c r="T309" s="4"/>
      <c r="U309" s="4"/>
      <c r="V309" s="4"/>
      <c r="W309" s="4">
        <v>0</v>
      </c>
      <c r="X309" s="4">
        <v>1</v>
      </c>
      <c r="Y309" s="4">
        <v>0</v>
      </c>
      <c r="Z309" s="4"/>
      <c r="AA309" s="4"/>
      <c r="AB309" s="4"/>
    </row>
    <row r="310" spans="1:28" ht="12.75">
      <c r="A310" s="4">
        <v>50</v>
      </c>
      <c r="B310" s="4">
        <v>0</v>
      </c>
      <c r="C310" s="4">
        <v>0</v>
      </c>
      <c r="D310" s="4">
        <v>1</v>
      </c>
      <c r="E310" s="4">
        <v>227</v>
      </c>
      <c r="F310" s="4">
        <f>ROUND(Source!AX303,O310)</f>
        <v>0</v>
      </c>
      <c r="G310" s="4" t="s">
        <v>105</v>
      </c>
      <c r="H310" s="4" t="s">
        <v>106</v>
      </c>
      <c r="I310" s="4"/>
      <c r="J310" s="4"/>
      <c r="K310" s="4">
        <v>227</v>
      </c>
      <c r="L310" s="4">
        <v>6</v>
      </c>
      <c r="M310" s="4">
        <v>3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>
        <v>0</v>
      </c>
      <c r="X310" s="4">
        <v>1</v>
      </c>
      <c r="Y310" s="4">
        <v>0</v>
      </c>
      <c r="Z310" s="4"/>
      <c r="AA310" s="4"/>
      <c r="AB310" s="4"/>
    </row>
    <row r="311" spans="1:28" ht="12.75">
      <c r="A311" s="4">
        <v>50</v>
      </c>
      <c r="B311" s="4">
        <v>0</v>
      </c>
      <c r="C311" s="4">
        <v>0</v>
      </c>
      <c r="D311" s="4">
        <v>1</v>
      </c>
      <c r="E311" s="4">
        <v>228</v>
      </c>
      <c r="F311" s="4">
        <f>ROUND(Source!AY303,O311)</f>
        <v>0</v>
      </c>
      <c r="G311" s="4" t="s">
        <v>107</v>
      </c>
      <c r="H311" s="4" t="s">
        <v>108</v>
      </c>
      <c r="I311" s="4"/>
      <c r="J311" s="4"/>
      <c r="K311" s="4">
        <v>228</v>
      </c>
      <c r="L311" s="4">
        <v>7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>
        <v>0</v>
      </c>
      <c r="X311" s="4">
        <v>1</v>
      </c>
      <c r="Y311" s="4">
        <v>0</v>
      </c>
      <c r="Z311" s="4"/>
      <c r="AA311" s="4"/>
      <c r="AB311" s="4"/>
    </row>
    <row r="312" spans="1:28" ht="12.75">
      <c r="A312" s="4">
        <v>50</v>
      </c>
      <c r="B312" s="4">
        <v>0</v>
      </c>
      <c r="C312" s="4">
        <v>0</v>
      </c>
      <c r="D312" s="4">
        <v>1</v>
      </c>
      <c r="E312" s="4">
        <v>216</v>
      </c>
      <c r="F312" s="4">
        <f>ROUND(Source!AP303,O312)</f>
        <v>0</v>
      </c>
      <c r="G312" s="4" t="s">
        <v>109</v>
      </c>
      <c r="H312" s="4" t="s">
        <v>110</v>
      </c>
      <c r="I312" s="4"/>
      <c r="J312" s="4"/>
      <c r="K312" s="4">
        <v>216</v>
      </c>
      <c r="L312" s="4">
        <v>8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>
        <v>0</v>
      </c>
      <c r="X312" s="4">
        <v>1</v>
      </c>
      <c r="Y312" s="4">
        <v>0</v>
      </c>
      <c r="Z312" s="4"/>
      <c r="AA312" s="4"/>
      <c r="AB312" s="4"/>
    </row>
    <row r="313" spans="1:28" ht="12.75">
      <c r="A313" s="4">
        <v>50</v>
      </c>
      <c r="B313" s="4">
        <v>0</v>
      </c>
      <c r="C313" s="4">
        <v>0</v>
      </c>
      <c r="D313" s="4">
        <v>1</v>
      </c>
      <c r="E313" s="4">
        <v>223</v>
      </c>
      <c r="F313" s="4">
        <f>ROUND(Source!AQ303,O313)</f>
        <v>0</v>
      </c>
      <c r="G313" s="4" t="s">
        <v>111</v>
      </c>
      <c r="H313" s="4" t="s">
        <v>112</v>
      </c>
      <c r="I313" s="4"/>
      <c r="J313" s="4"/>
      <c r="K313" s="4">
        <v>223</v>
      </c>
      <c r="L313" s="4">
        <v>9</v>
      </c>
      <c r="M313" s="4">
        <v>3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>
        <v>0</v>
      </c>
      <c r="X313" s="4">
        <v>1</v>
      </c>
      <c r="Y313" s="4">
        <v>0</v>
      </c>
      <c r="Z313" s="4"/>
      <c r="AA313" s="4"/>
      <c r="AB313" s="4"/>
    </row>
    <row r="314" spans="1:28" ht="12.75">
      <c r="A314" s="4">
        <v>50</v>
      </c>
      <c r="B314" s="4">
        <v>0</v>
      </c>
      <c r="C314" s="4">
        <v>0</v>
      </c>
      <c r="D314" s="4">
        <v>1</v>
      </c>
      <c r="E314" s="4">
        <v>229</v>
      </c>
      <c r="F314" s="4">
        <f>ROUND(Source!AZ303,O314)</f>
        <v>0</v>
      </c>
      <c r="G314" s="4" t="s">
        <v>113</v>
      </c>
      <c r="H314" s="4" t="s">
        <v>114</v>
      </c>
      <c r="I314" s="4"/>
      <c r="J314" s="4"/>
      <c r="K314" s="4">
        <v>229</v>
      </c>
      <c r="L314" s="4">
        <v>10</v>
      </c>
      <c r="M314" s="4">
        <v>3</v>
      </c>
      <c r="N314" s="4" t="s">
        <v>3</v>
      </c>
      <c r="O314" s="4">
        <v>2</v>
      </c>
      <c r="P314" s="4"/>
      <c r="Q314" s="4"/>
      <c r="R314" s="4"/>
      <c r="S314" s="4"/>
      <c r="T314" s="4"/>
      <c r="U314" s="4"/>
      <c r="V314" s="4"/>
      <c r="W314" s="4">
        <v>0</v>
      </c>
      <c r="X314" s="4">
        <v>1</v>
      </c>
      <c r="Y314" s="4">
        <v>0</v>
      </c>
      <c r="Z314" s="4"/>
      <c r="AA314" s="4"/>
      <c r="AB314" s="4"/>
    </row>
    <row r="315" spans="1:28" ht="12.75">
      <c r="A315" s="4">
        <v>50</v>
      </c>
      <c r="B315" s="4">
        <v>0</v>
      </c>
      <c r="C315" s="4">
        <v>0</v>
      </c>
      <c r="D315" s="4">
        <v>1</v>
      </c>
      <c r="E315" s="4">
        <v>203</v>
      </c>
      <c r="F315" s="4">
        <f>ROUND(Source!Q303,O315)</f>
        <v>0</v>
      </c>
      <c r="G315" s="4" t="s">
        <v>115</v>
      </c>
      <c r="H315" s="4" t="s">
        <v>116</v>
      </c>
      <c r="I315" s="4"/>
      <c r="J315" s="4"/>
      <c r="K315" s="4">
        <v>203</v>
      </c>
      <c r="L315" s="4">
        <v>11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>
        <v>0</v>
      </c>
      <c r="X315" s="4">
        <v>1</v>
      </c>
      <c r="Y315" s="4">
        <v>0</v>
      </c>
      <c r="Z315" s="4"/>
      <c r="AA315" s="4"/>
      <c r="AB315" s="4"/>
    </row>
    <row r="316" spans="1:28" ht="12.75">
      <c r="A316" s="4">
        <v>50</v>
      </c>
      <c r="B316" s="4">
        <v>0</v>
      </c>
      <c r="C316" s="4">
        <v>0</v>
      </c>
      <c r="D316" s="4">
        <v>1</v>
      </c>
      <c r="E316" s="4">
        <v>231</v>
      </c>
      <c r="F316" s="4">
        <f>ROUND(Source!BB303,O316)</f>
        <v>0</v>
      </c>
      <c r="G316" s="4" t="s">
        <v>117</v>
      </c>
      <c r="H316" s="4" t="s">
        <v>118</v>
      </c>
      <c r="I316" s="4"/>
      <c r="J316" s="4"/>
      <c r="K316" s="4">
        <v>231</v>
      </c>
      <c r="L316" s="4">
        <v>12</v>
      </c>
      <c r="M316" s="4">
        <v>3</v>
      </c>
      <c r="N316" s="4" t="s">
        <v>3</v>
      </c>
      <c r="O316" s="4">
        <v>2</v>
      </c>
      <c r="P316" s="4"/>
      <c r="Q316" s="4"/>
      <c r="R316" s="4"/>
      <c r="S316" s="4"/>
      <c r="T316" s="4"/>
      <c r="U316" s="4"/>
      <c r="V316" s="4"/>
      <c r="W316" s="4">
        <v>0</v>
      </c>
      <c r="X316" s="4">
        <v>1</v>
      </c>
      <c r="Y316" s="4">
        <v>0</v>
      </c>
      <c r="Z316" s="4"/>
      <c r="AA316" s="4"/>
      <c r="AB316" s="4"/>
    </row>
    <row r="317" spans="1:28" ht="12.75">
      <c r="A317" s="4">
        <v>50</v>
      </c>
      <c r="B317" s="4">
        <v>0</v>
      </c>
      <c r="C317" s="4">
        <v>0</v>
      </c>
      <c r="D317" s="4">
        <v>1</v>
      </c>
      <c r="E317" s="4">
        <v>204</v>
      </c>
      <c r="F317" s="4">
        <f>ROUND(Source!R303,O317)</f>
        <v>0</v>
      </c>
      <c r="G317" s="4" t="s">
        <v>119</v>
      </c>
      <c r="H317" s="4" t="s">
        <v>120</v>
      </c>
      <c r="I317" s="4"/>
      <c r="J317" s="4"/>
      <c r="K317" s="4">
        <v>204</v>
      </c>
      <c r="L317" s="4">
        <v>13</v>
      </c>
      <c r="M317" s="4">
        <v>3</v>
      </c>
      <c r="N317" s="4" t="s">
        <v>3</v>
      </c>
      <c r="O317" s="4">
        <v>2</v>
      </c>
      <c r="P317" s="4"/>
      <c r="Q317" s="4"/>
      <c r="R317" s="4"/>
      <c r="S317" s="4"/>
      <c r="T317" s="4"/>
      <c r="U317" s="4"/>
      <c r="V317" s="4"/>
      <c r="W317" s="4">
        <v>0</v>
      </c>
      <c r="X317" s="4">
        <v>1</v>
      </c>
      <c r="Y317" s="4">
        <v>0</v>
      </c>
      <c r="Z317" s="4"/>
      <c r="AA317" s="4"/>
      <c r="AB317" s="4"/>
    </row>
    <row r="318" spans="1:28" ht="12.75">
      <c r="A318" s="4">
        <v>50</v>
      </c>
      <c r="B318" s="4">
        <v>0</v>
      </c>
      <c r="C318" s="4">
        <v>0</v>
      </c>
      <c r="D318" s="4">
        <v>1</v>
      </c>
      <c r="E318" s="4">
        <v>205</v>
      </c>
      <c r="F318" s="4">
        <f>ROUND(Source!S303,O318)</f>
        <v>53.78</v>
      </c>
      <c r="G318" s="4" t="s">
        <v>121</v>
      </c>
      <c r="H318" s="4" t="s">
        <v>122</v>
      </c>
      <c r="I318" s="4"/>
      <c r="J318" s="4"/>
      <c r="K318" s="4">
        <v>205</v>
      </c>
      <c r="L318" s="4">
        <v>14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>
        <v>53.78</v>
      </c>
      <c r="X318" s="4">
        <v>1</v>
      </c>
      <c r="Y318" s="4">
        <v>1555.86</v>
      </c>
      <c r="Z318" s="4"/>
      <c r="AA318" s="4"/>
      <c r="AB318" s="4"/>
    </row>
    <row r="319" spans="1:28" ht="12.75">
      <c r="A319" s="4">
        <v>50</v>
      </c>
      <c r="B319" s="4">
        <v>0</v>
      </c>
      <c r="C319" s="4">
        <v>0</v>
      </c>
      <c r="D319" s="4">
        <v>1</v>
      </c>
      <c r="E319" s="4">
        <v>232</v>
      </c>
      <c r="F319" s="4">
        <f>ROUND(Source!BC303,O319)</f>
        <v>0</v>
      </c>
      <c r="G319" s="4" t="s">
        <v>123</v>
      </c>
      <c r="H319" s="4" t="s">
        <v>124</v>
      </c>
      <c r="I319" s="4"/>
      <c r="J319" s="4"/>
      <c r="K319" s="4">
        <v>232</v>
      </c>
      <c r="L319" s="4">
        <v>15</v>
      </c>
      <c r="M319" s="4">
        <v>3</v>
      </c>
      <c r="N319" s="4" t="s">
        <v>3</v>
      </c>
      <c r="O319" s="4">
        <v>2</v>
      </c>
      <c r="P319" s="4"/>
      <c r="Q319" s="4"/>
      <c r="R319" s="4"/>
      <c r="S319" s="4"/>
      <c r="T319" s="4"/>
      <c r="U319" s="4"/>
      <c r="V319" s="4"/>
      <c r="W319" s="4">
        <v>0</v>
      </c>
      <c r="X319" s="4">
        <v>1</v>
      </c>
      <c r="Y319" s="4">
        <v>0</v>
      </c>
      <c r="Z319" s="4"/>
      <c r="AA319" s="4"/>
      <c r="AB319" s="4"/>
    </row>
    <row r="320" spans="1:28" ht="12.75">
      <c r="A320" s="4">
        <v>50</v>
      </c>
      <c r="B320" s="4">
        <v>0</v>
      </c>
      <c r="C320" s="4">
        <v>0</v>
      </c>
      <c r="D320" s="4">
        <v>1</v>
      </c>
      <c r="E320" s="4">
        <v>214</v>
      </c>
      <c r="F320" s="4">
        <f>ROUND(Source!AS303,O320)</f>
        <v>0</v>
      </c>
      <c r="G320" s="4" t="s">
        <v>125</v>
      </c>
      <c r="H320" s="4" t="s">
        <v>126</v>
      </c>
      <c r="I320" s="4"/>
      <c r="J320" s="4"/>
      <c r="K320" s="4">
        <v>214</v>
      </c>
      <c r="L320" s="4">
        <v>16</v>
      </c>
      <c r="M320" s="4">
        <v>3</v>
      </c>
      <c r="N320" s="4" t="s">
        <v>3</v>
      </c>
      <c r="O320" s="4">
        <v>2</v>
      </c>
      <c r="P320" s="4"/>
      <c r="Q320" s="4"/>
      <c r="R320" s="4"/>
      <c r="S320" s="4"/>
      <c r="T320" s="4"/>
      <c r="U320" s="4"/>
      <c r="V320" s="4"/>
      <c r="W320" s="4">
        <v>0</v>
      </c>
      <c r="X320" s="4">
        <v>1</v>
      </c>
      <c r="Y320" s="4">
        <v>0</v>
      </c>
      <c r="Z320" s="4"/>
      <c r="AA320" s="4"/>
      <c r="AB320" s="4"/>
    </row>
    <row r="321" spans="1:28" ht="12.75">
      <c r="A321" s="4">
        <v>50</v>
      </c>
      <c r="B321" s="4">
        <v>0</v>
      </c>
      <c r="C321" s="4">
        <v>0</v>
      </c>
      <c r="D321" s="4">
        <v>1</v>
      </c>
      <c r="E321" s="4">
        <v>215</v>
      </c>
      <c r="F321" s="4">
        <f>ROUND(Source!AT303,O321)</f>
        <v>0</v>
      </c>
      <c r="G321" s="4" t="s">
        <v>127</v>
      </c>
      <c r="H321" s="4" t="s">
        <v>128</v>
      </c>
      <c r="I321" s="4"/>
      <c r="J321" s="4"/>
      <c r="K321" s="4">
        <v>215</v>
      </c>
      <c r="L321" s="4">
        <v>17</v>
      </c>
      <c r="M321" s="4">
        <v>3</v>
      </c>
      <c r="N321" s="4" t="s">
        <v>3</v>
      </c>
      <c r="O321" s="4">
        <v>2</v>
      </c>
      <c r="P321" s="4"/>
      <c r="Q321" s="4"/>
      <c r="R321" s="4"/>
      <c r="S321" s="4"/>
      <c r="T321" s="4"/>
      <c r="U321" s="4"/>
      <c r="V321" s="4"/>
      <c r="W321" s="4">
        <v>0</v>
      </c>
      <c r="X321" s="4">
        <v>1</v>
      </c>
      <c r="Y321" s="4">
        <v>0</v>
      </c>
      <c r="Z321" s="4"/>
      <c r="AA321" s="4"/>
      <c r="AB321" s="4"/>
    </row>
    <row r="322" spans="1:28" ht="12.75">
      <c r="A322" s="4">
        <v>50</v>
      </c>
      <c r="B322" s="4">
        <v>0</v>
      </c>
      <c r="C322" s="4">
        <v>0</v>
      </c>
      <c r="D322" s="4">
        <v>1</v>
      </c>
      <c r="E322" s="4">
        <v>217</v>
      </c>
      <c r="F322" s="4">
        <f>ROUND(Source!AU303,O322)</f>
        <v>112.94</v>
      </c>
      <c r="G322" s="4" t="s">
        <v>129</v>
      </c>
      <c r="H322" s="4" t="s">
        <v>130</v>
      </c>
      <c r="I322" s="4"/>
      <c r="J322" s="4"/>
      <c r="K322" s="4">
        <v>217</v>
      </c>
      <c r="L322" s="4">
        <v>18</v>
      </c>
      <c r="M322" s="4">
        <v>3</v>
      </c>
      <c r="N322" s="4" t="s">
        <v>3</v>
      </c>
      <c r="O322" s="4">
        <v>2</v>
      </c>
      <c r="P322" s="4"/>
      <c r="Q322" s="4"/>
      <c r="R322" s="4"/>
      <c r="S322" s="4"/>
      <c r="T322" s="4"/>
      <c r="U322" s="4"/>
      <c r="V322" s="4"/>
      <c r="W322" s="4">
        <v>112.94000000000001</v>
      </c>
      <c r="X322" s="4">
        <v>1</v>
      </c>
      <c r="Y322" s="4">
        <v>3267.2999999999997</v>
      </c>
      <c r="Z322" s="4"/>
      <c r="AA322" s="4"/>
      <c r="AB322" s="4"/>
    </row>
    <row r="323" spans="1:28" ht="12.75">
      <c r="A323" s="4">
        <v>50</v>
      </c>
      <c r="B323" s="4">
        <v>0</v>
      </c>
      <c r="C323" s="4">
        <v>0</v>
      </c>
      <c r="D323" s="4">
        <v>1</v>
      </c>
      <c r="E323" s="4">
        <v>230</v>
      </c>
      <c r="F323" s="4">
        <f>ROUND(Source!BA303,O323)</f>
        <v>0</v>
      </c>
      <c r="G323" s="4" t="s">
        <v>131</v>
      </c>
      <c r="H323" s="4" t="s">
        <v>132</v>
      </c>
      <c r="I323" s="4"/>
      <c r="J323" s="4"/>
      <c r="K323" s="4">
        <v>230</v>
      </c>
      <c r="L323" s="4">
        <v>19</v>
      </c>
      <c r="M323" s="4">
        <v>3</v>
      </c>
      <c r="N323" s="4" t="s">
        <v>3</v>
      </c>
      <c r="O323" s="4">
        <v>2</v>
      </c>
      <c r="P323" s="4"/>
      <c r="Q323" s="4"/>
      <c r="R323" s="4"/>
      <c r="S323" s="4"/>
      <c r="T323" s="4"/>
      <c r="U323" s="4"/>
      <c r="V323" s="4"/>
      <c r="W323" s="4">
        <v>0</v>
      </c>
      <c r="X323" s="4">
        <v>1</v>
      </c>
      <c r="Y323" s="4">
        <v>0</v>
      </c>
      <c r="Z323" s="4"/>
      <c r="AA323" s="4"/>
      <c r="AB323" s="4"/>
    </row>
    <row r="324" spans="1:28" ht="12.75">
      <c r="A324" s="4">
        <v>50</v>
      </c>
      <c r="B324" s="4">
        <v>0</v>
      </c>
      <c r="C324" s="4">
        <v>0</v>
      </c>
      <c r="D324" s="4">
        <v>1</v>
      </c>
      <c r="E324" s="4">
        <v>206</v>
      </c>
      <c r="F324" s="4">
        <f>ROUND(Source!T303,O324)</f>
        <v>0</v>
      </c>
      <c r="G324" s="4" t="s">
        <v>133</v>
      </c>
      <c r="H324" s="4" t="s">
        <v>134</v>
      </c>
      <c r="I324" s="4"/>
      <c r="J324" s="4"/>
      <c r="K324" s="4">
        <v>206</v>
      </c>
      <c r="L324" s="4">
        <v>20</v>
      </c>
      <c r="M324" s="4">
        <v>3</v>
      </c>
      <c r="N324" s="4" t="s">
        <v>3</v>
      </c>
      <c r="O324" s="4">
        <v>2</v>
      </c>
      <c r="P324" s="4"/>
      <c r="Q324" s="4"/>
      <c r="R324" s="4"/>
      <c r="S324" s="4"/>
      <c r="T324" s="4"/>
      <c r="U324" s="4"/>
      <c r="V324" s="4"/>
      <c r="W324" s="4">
        <v>0</v>
      </c>
      <c r="X324" s="4">
        <v>1</v>
      </c>
      <c r="Y324" s="4">
        <v>0</v>
      </c>
      <c r="Z324" s="4"/>
      <c r="AA324" s="4"/>
      <c r="AB324" s="4"/>
    </row>
    <row r="325" spans="1:28" ht="12.75">
      <c r="A325" s="4">
        <v>50</v>
      </c>
      <c r="B325" s="4">
        <v>0</v>
      </c>
      <c r="C325" s="4">
        <v>0</v>
      </c>
      <c r="D325" s="4">
        <v>1</v>
      </c>
      <c r="E325" s="4">
        <v>207</v>
      </c>
      <c r="F325" s="4">
        <f>Source!U303</f>
        <v>4.319999999999999</v>
      </c>
      <c r="G325" s="4" t="s">
        <v>135</v>
      </c>
      <c r="H325" s="4" t="s">
        <v>136</v>
      </c>
      <c r="I325" s="4"/>
      <c r="J325" s="4"/>
      <c r="K325" s="4">
        <v>207</v>
      </c>
      <c r="L325" s="4">
        <v>21</v>
      </c>
      <c r="M325" s="4">
        <v>3</v>
      </c>
      <c r="N325" s="4" t="s">
        <v>3</v>
      </c>
      <c r="O325" s="4">
        <v>-1</v>
      </c>
      <c r="P325" s="4"/>
      <c r="Q325" s="4"/>
      <c r="R325" s="4"/>
      <c r="S325" s="4"/>
      <c r="T325" s="4"/>
      <c r="U325" s="4"/>
      <c r="V325" s="4"/>
      <c r="W325" s="4">
        <v>4.32</v>
      </c>
      <c r="X325" s="4">
        <v>1</v>
      </c>
      <c r="Y325" s="4">
        <v>4.32</v>
      </c>
      <c r="Z325" s="4"/>
      <c r="AA325" s="4"/>
      <c r="AB325" s="4"/>
    </row>
    <row r="326" spans="1:28" ht="12.75">
      <c r="A326" s="4">
        <v>50</v>
      </c>
      <c r="B326" s="4">
        <v>0</v>
      </c>
      <c r="C326" s="4">
        <v>0</v>
      </c>
      <c r="D326" s="4">
        <v>1</v>
      </c>
      <c r="E326" s="4">
        <v>208</v>
      </c>
      <c r="F326" s="4">
        <f>Source!V303</f>
        <v>0</v>
      </c>
      <c r="G326" s="4" t="s">
        <v>137</v>
      </c>
      <c r="H326" s="4" t="s">
        <v>138</v>
      </c>
      <c r="I326" s="4"/>
      <c r="J326" s="4"/>
      <c r="K326" s="4">
        <v>208</v>
      </c>
      <c r="L326" s="4">
        <v>22</v>
      </c>
      <c r="M326" s="4">
        <v>3</v>
      </c>
      <c r="N326" s="4" t="s">
        <v>3</v>
      </c>
      <c r="O326" s="4">
        <v>-1</v>
      </c>
      <c r="P326" s="4"/>
      <c r="Q326" s="4"/>
      <c r="R326" s="4"/>
      <c r="S326" s="4"/>
      <c r="T326" s="4"/>
      <c r="U326" s="4"/>
      <c r="V326" s="4"/>
      <c r="W326" s="4">
        <v>0</v>
      </c>
      <c r="X326" s="4">
        <v>1</v>
      </c>
      <c r="Y326" s="4">
        <v>0</v>
      </c>
      <c r="Z326" s="4"/>
      <c r="AA326" s="4"/>
      <c r="AB326" s="4"/>
    </row>
    <row r="327" spans="1:28" ht="12.75">
      <c r="A327" s="4">
        <v>50</v>
      </c>
      <c r="B327" s="4">
        <v>0</v>
      </c>
      <c r="C327" s="4">
        <v>0</v>
      </c>
      <c r="D327" s="4">
        <v>1</v>
      </c>
      <c r="E327" s="4">
        <v>209</v>
      </c>
      <c r="F327" s="4">
        <f>ROUND(Source!W303,O327)</f>
        <v>0</v>
      </c>
      <c r="G327" s="4" t="s">
        <v>139</v>
      </c>
      <c r="H327" s="4" t="s">
        <v>140</v>
      </c>
      <c r="I327" s="4"/>
      <c r="J327" s="4"/>
      <c r="K327" s="4">
        <v>209</v>
      </c>
      <c r="L327" s="4">
        <v>23</v>
      </c>
      <c r="M327" s="4">
        <v>3</v>
      </c>
      <c r="N327" s="4" t="s">
        <v>3</v>
      </c>
      <c r="O327" s="4">
        <v>2</v>
      </c>
      <c r="P327" s="4"/>
      <c r="Q327" s="4"/>
      <c r="R327" s="4"/>
      <c r="S327" s="4"/>
      <c r="T327" s="4"/>
      <c r="U327" s="4"/>
      <c r="V327" s="4"/>
      <c r="W327" s="4">
        <v>0</v>
      </c>
      <c r="X327" s="4">
        <v>1</v>
      </c>
      <c r="Y327" s="4">
        <v>0</v>
      </c>
      <c r="Z327" s="4"/>
      <c r="AA327" s="4"/>
      <c r="AB327" s="4"/>
    </row>
    <row r="328" spans="1:28" ht="12.75">
      <c r="A328" s="4">
        <v>50</v>
      </c>
      <c r="B328" s="4">
        <v>0</v>
      </c>
      <c r="C328" s="4">
        <v>0</v>
      </c>
      <c r="D328" s="4">
        <v>1</v>
      </c>
      <c r="E328" s="4">
        <v>233</v>
      </c>
      <c r="F328" s="4">
        <f>ROUND(Source!BD303,O328)</f>
        <v>0</v>
      </c>
      <c r="G328" s="4" t="s">
        <v>141</v>
      </c>
      <c r="H328" s="4" t="s">
        <v>142</v>
      </c>
      <c r="I328" s="4"/>
      <c r="J328" s="4"/>
      <c r="K328" s="4">
        <v>233</v>
      </c>
      <c r="L328" s="4">
        <v>24</v>
      </c>
      <c r="M328" s="4">
        <v>3</v>
      </c>
      <c r="N328" s="4" t="s">
        <v>3</v>
      </c>
      <c r="O328" s="4">
        <v>2</v>
      </c>
      <c r="P328" s="4"/>
      <c r="Q328" s="4"/>
      <c r="R328" s="4"/>
      <c r="S328" s="4"/>
      <c r="T328" s="4"/>
      <c r="U328" s="4"/>
      <c r="V328" s="4"/>
      <c r="W328" s="4">
        <v>0</v>
      </c>
      <c r="X328" s="4">
        <v>1</v>
      </c>
      <c r="Y328" s="4">
        <v>0</v>
      </c>
      <c r="Z328" s="4"/>
      <c r="AA328" s="4"/>
      <c r="AB328" s="4"/>
    </row>
    <row r="329" spans="1:28" ht="12.75">
      <c r="A329" s="4">
        <v>50</v>
      </c>
      <c r="B329" s="4">
        <v>0</v>
      </c>
      <c r="C329" s="4">
        <v>0</v>
      </c>
      <c r="D329" s="4">
        <v>1</v>
      </c>
      <c r="E329" s="4">
        <v>0</v>
      </c>
      <c r="F329" s="4">
        <f>ROUND(Source!X303,O329)</f>
        <v>39.8</v>
      </c>
      <c r="G329" s="4" t="s">
        <v>143</v>
      </c>
      <c r="H329" s="4" t="s">
        <v>144</v>
      </c>
      <c r="I329" s="4"/>
      <c r="J329" s="4"/>
      <c r="K329" s="4">
        <v>210</v>
      </c>
      <c r="L329" s="4">
        <v>25</v>
      </c>
      <c r="M329" s="4">
        <v>3</v>
      </c>
      <c r="N329" s="4" t="s">
        <v>3</v>
      </c>
      <c r="O329" s="4">
        <v>2</v>
      </c>
      <c r="P329" s="4"/>
      <c r="Q329" s="4"/>
      <c r="R329" s="4"/>
      <c r="S329" s="4"/>
      <c r="T329" s="4"/>
      <c r="U329" s="4"/>
      <c r="V329" s="4"/>
      <c r="W329" s="4">
        <v>39.8</v>
      </c>
      <c r="X329" s="4">
        <v>1</v>
      </c>
      <c r="Y329" s="4">
        <v>1151.33</v>
      </c>
      <c r="Z329" s="4"/>
      <c r="AA329" s="4"/>
      <c r="AB329" s="4"/>
    </row>
    <row r="330" spans="1:28" ht="12.75">
      <c r="A330" s="4">
        <v>50</v>
      </c>
      <c r="B330" s="4">
        <v>0</v>
      </c>
      <c r="C330" s="4">
        <v>0</v>
      </c>
      <c r="D330" s="4">
        <v>1</v>
      </c>
      <c r="E330" s="4">
        <v>0</v>
      </c>
      <c r="F330" s="4">
        <f>ROUND(Source!Y303,O330)</f>
        <v>19.36</v>
      </c>
      <c r="G330" s="4" t="s">
        <v>145</v>
      </c>
      <c r="H330" s="4" t="s">
        <v>146</v>
      </c>
      <c r="I330" s="4"/>
      <c r="J330" s="4"/>
      <c r="K330" s="4">
        <v>211</v>
      </c>
      <c r="L330" s="4">
        <v>26</v>
      </c>
      <c r="M330" s="4">
        <v>3</v>
      </c>
      <c r="N330" s="4" t="s">
        <v>3</v>
      </c>
      <c r="O330" s="4">
        <v>2</v>
      </c>
      <c r="P330" s="4"/>
      <c r="Q330" s="4"/>
      <c r="R330" s="4"/>
      <c r="S330" s="4"/>
      <c r="T330" s="4"/>
      <c r="U330" s="4"/>
      <c r="V330" s="4"/>
      <c r="W330" s="4">
        <v>19.36</v>
      </c>
      <c r="X330" s="4">
        <v>1</v>
      </c>
      <c r="Y330" s="4">
        <v>560.11</v>
      </c>
      <c r="Z330" s="4"/>
      <c r="AA330" s="4"/>
      <c r="AB330" s="4"/>
    </row>
    <row r="331" spans="1:28" ht="12.75">
      <c r="A331" s="4">
        <v>50</v>
      </c>
      <c r="B331" s="4">
        <v>0</v>
      </c>
      <c r="C331" s="4">
        <v>0</v>
      </c>
      <c r="D331" s="4">
        <v>1</v>
      </c>
      <c r="E331" s="4">
        <v>224</v>
      </c>
      <c r="F331" s="4">
        <f>ROUND(Source!AR303,O331)</f>
        <v>112.94</v>
      </c>
      <c r="G331" s="4" t="s">
        <v>147</v>
      </c>
      <c r="H331" s="4" t="s">
        <v>148</v>
      </c>
      <c r="I331" s="4"/>
      <c r="J331" s="4"/>
      <c r="K331" s="4">
        <v>224</v>
      </c>
      <c r="L331" s="4">
        <v>27</v>
      </c>
      <c r="M331" s="4">
        <v>3</v>
      </c>
      <c r="N331" s="4" t="s">
        <v>3</v>
      </c>
      <c r="O331" s="4">
        <v>2</v>
      </c>
      <c r="P331" s="4"/>
      <c r="Q331" s="4"/>
      <c r="R331" s="4"/>
      <c r="S331" s="4"/>
      <c r="T331" s="4"/>
      <c r="U331" s="4"/>
      <c r="V331" s="4"/>
      <c r="W331" s="4">
        <v>112.94</v>
      </c>
      <c r="X331" s="4">
        <v>1</v>
      </c>
      <c r="Y331" s="4">
        <v>3267.2999999999997</v>
      </c>
      <c r="Z331" s="4"/>
      <c r="AA331" s="4"/>
      <c r="AB331" s="4"/>
    </row>
    <row r="332" spans="1:28" ht="12.75">
      <c r="A332" s="4">
        <v>50</v>
      </c>
      <c r="B332" s="4">
        <v>1</v>
      </c>
      <c r="C332" s="4">
        <v>0</v>
      </c>
      <c r="D332" s="4">
        <v>2</v>
      </c>
      <c r="E332" s="4">
        <v>201</v>
      </c>
      <c r="F332" s="4">
        <f>ROUND(ROUND(F305,0),O332)</f>
        <v>54</v>
      </c>
      <c r="G332" s="4" t="s">
        <v>149</v>
      </c>
      <c r="H332" s="4" t="s">
        <v>150</v>
      </c>
      <c r="I332" s="4"/>
      <c r="J332" s="4"/>
      <c r="K332" s="4">
        <v>212</v>
      </c>
      <c r="L332" s="4">
        <v>28</v>
      </c>
      <c r="M332" s="4">
        <v>0</v>
      </c>
      <c r="N332" s="4" t="s">
        <v>3</v>
      </c>
      <c r="O332" s="4">
        <v>0</v>
      </c>
      <c r="P332" s="4"/>
      <c r="Q332" s="4"/>
      <c r="R332" s="4"/>
      <c r="S332" s="4"/>
      <c r="T332" s="4"/>
      <c r="U332" s="4"/>
      <c r="V332" s="4"/>
      <c r="W332" s="4">
        <v>54</v>
      </c>
      <c r="X332" s="4">
        <v>1</v>
      </c>
      <c r="Y332" s="4">
        <v>1556</v>
      </c>
      <c r="Z332" s="4"/>
      <c r="AA332" s="4"/>
      <c r="AB332" s="4"/>
    </row>
    <row r="333" spans="1:28" ht="12.75">
      <c r="A333" s="4">
        <v>50</v>
      </c>
      <c r="B333" s="4">
        <v>1</v>
      </c>
      <c r="C333" s="4">
        <v>0</v>
      </c>
      <c r="D333" s="4">
        <v>2</v>
      </c>
      <c r="E333" s="4">
        <v>210</v>
      </c>
      <c r="F333" s="4">
        <f>ROUND(ROUND(F329,0),O333)</f>
        <v>40</v>
      </c>
      <c r="G333" s="4" t="s">
        <v>151</v>
      </c>
      <c r="H333" s="4" t="s">
        <v>144</v>
      </c>
      <c r="I333" s="4"/>
      <c r="J333" s="4"/>
      <c r="K333" s="4">
        <v>212</v>
      </c>
      <c r="L333" s="4">
        <v>29</v>
      </c>
      <c r="M333" s="4">
        <v>0</v>
      </c>
      <c r="N333" s="4" t="s">
        <v>3</v>
      </c>
      <c r="O333" s="4">
        <v>0</v>
      </c>
      <c r="P333" s="4"/>
      <c r="Q333" s="4"/>
      <c r="R333" s="4"/>
      <c r="S333" s="4"/>
      <c r="T333" s="4"/>
      <c r="U333" s="4"/>
      <c r="V333" s="4"/>
      <c r="W333" s="4">
        <v>40</v>
      </c>
      <c r="X333" s="4">
        <v>1</v>
      </c>
      <c r="Y333" s="4">
        <v>1151</v>
      </c>
      <c r="Z333" s="4"/>
      <c r="AA333" s="4"/>
      <c r="AB333" s="4"/>
    </row>
    <row r="334" spans="1:28" ht="12.75">
      <c r="A334" s="4">
        <v>50</v>
      </c>
      <c r="B334" s="4">
        <v>1</v>
      </c>
      <c r="C334" s="4">
        <v>0</v>
      </c>
      <c r="D334" s="4">
        <v>2</v>
      </c>
      <c r="E334" s="4">
        <v>211</v>
      </c>
      <c r="F334" s="4">
        <f>ROUND(ROUND(F330,0),O334)</f>
        <v>19</v>
      </c>
      <c r="G334" s="4" t="s">
        <v>152</v>
      </c>
      <c r="H334" s="4" t="s">
        <v>146</v>
      </c>
      <c r="I334" s="4"/>
      <c r="J334" s="4"/>
      <c r="K334" s="4">
        <v>212</v>
      </c>
      <c r="L334" s="4">
        <v>30</v>
      </c>
      <c r="M334" s="4">
        <v>0</v>
      </c>
      <c r="N334" s="4" t="s">
        <v>3</v>
      </c>
      <c r="O334" s="4">
        <v>0</v>
      </c>
      <c r="P334" s="4"/>
      <c r="Q334" s="4"/>
      <c r="R334" s="4"/>
      <c r="S334" s="4"/>
      <c r="T334" s="4"/>
      <c r="U334" s="4"/>
      <c r="V334" s="4"/>
      <c r="W334" s="4">
        <v>19</v>
      </c>
      <c r="X334" s="4">
        <v>1</v>
      </c>
      <c r="Y334" s="4">
        <v>560</v>
      </c>
      <c r="Z334" s="4"/>
      <c r="AA334" s="4"/>
      <c r="AB334" s="4"/>
    </row>
    <row r="335" spans="1:28" ht="12.75">
      <c r="A335" s="4">
        <v>50</v>
      </c>
      <c r="B335" s="4">
        <v>1</v>
      </c>
      <c r="C335" s="4">
        <v>0</v>
      </c>
      <c r="D335" s="4">
        <v>2</v>
      </c>
      <c r="E335" s="4">
        <v>213</v>
      </c>
      <c r="F335" s="4">
        <f>ROUND(F332+F333+F334,O335)</f>
        <v>113</v>
      </c>
      <c r="G335" s="4" t="s">
        <v>153</v>
      </c>
      <c r="H335" s="4" t="s">
        <v>154</v>
      </c>
      <c r="I335" s="4"/>
      <c r="J335" s="4"/>
      <c r="K335" s="4">
        <v>212</v>
      </c>
      <c r="L335" s="4">
        <v>31</v>
      </c>
      <c r="M335" s="4">
        <v>0</v>
      </c>
      <c r="N335" s="4" t="s">
        <v>3</v>
      </c>
      <c r="O335" s="4">
        <v>2</v>
      </c>
      <c r="P335" s="4"/>
      <c r="Q335" s="4"/>
      <c r="R335" s="4"/>
      <c r="S335" s="4"/>
      <c r="T335" s="4"/>
      <c r="U335" s="4"/>
      <c r="V335" s="4"/>
      <c r="W335" s="4">
        <v>113</v>
      </c>
      <c r="X335" s="4">
        <v>1</v>
      </c>
      <c r="Y335" s="4">
        <v>3267</v>
      </c>
      <c r="Z335" s="4"/>
      <c r="AA335" s="4"/>
      <c r="AB335" s="4"/>
    </row>
    <row r="336" spans="1:28" ht="12.75">
      <c r="A336" s="4">
        <v>50</v>
      </c>
      <c r="B336" s="4">
        <v>0</v>
      </c>
      <c r="C336" s="4">
        <v>0</v>
      </c>
      <c r="D336" s="4">
        <v>2</v>
      </c>
      <c r="E336" s="4">
        <v>0</v>
      </c>
      <c r="F336" s="4">
        <v>0</v>
      </c>
      <c r="G336" s="4" t="s">
        <v>155</v>
      </c>
      <c r="H336" s="4" t="s">
        <v>156</v>
      </c>
      <c r="I336" s="4"/>
      <c r="J336" s="4"/>
      <c r="K336" s="4">
        <v>212</v>
      </c>
      <c r="L336" s="4">
        <v>32</v>
      </c>
      <c r="M336" s="4">
        <v>1</v>
      </c>
      <c r="N336" s="4" t="s">
        <v>3</v>
      </c>
      <c r="O336" s="4">
        <v>2</v>
      </c>
      <c r="P336" s="4"/>
      <c r="Q336" s="4"/>
      <c r="R336" s="4"/>
      <c r="S336" s="4"/>
      <c r="T336" s="4"/>
      <c r="U336" s="4"/>
      <c r="V336" s="4"/>
      <c r="W336" s="4">
        <v>0</v>
      </c>
      <c r="X336" s="4">
        <v>1</v>
      </c>
      <c r="Y336" s="4">
        <v>0</v>
      </c>
      <c r="Z336" s="4"/>
      <c r="AA336" s="4"/>
      <c r="AB336" s="4"/>
    </row>
    <row r="337" spans="1:28" ht="12.75">
      <c r="A337" s="4">
        <v>50</v>
      </c>
      <c r="B337" s="4">
        <v>0</v>
      </c>
      <c r="C337" s="4">
        <v>0</v>
      </c>
      <c r="D337" s="4">
        <v>2</v>
      </c>
      <c r="E337" s="4">
        <v>0</v>
      </c>
      <c r="F337" s="4">
        <v>0</v>
      </c>
      <c r="G337" s="4" t="s">
        <v>157</v>
      </c>
      <c r="H337" s="4" t="s">
        <v>158</v>
      </c>
      <c r="I337" s="4"/>
      <c r="J337" s="4"/>
      <c r="K337" s="4">
        <v>212</v>
      </c>
      <c r="L337" s="4">
        <v>33</v>
      </c>
      <c r="M337" s="4">
        <v>1</v>
      </c>
      <c r="N337" s="4" t="s">
        <v>3</v>
      </c>
      <c r="O337" s="4">
        <v>2</v>
      </c>
      <c r="P337" s="4"/>
      <c r="Q337" s="4"/>
      <c r="R337" s="4"/>
      <c r="S337" s="4"/>
      <c r="T337" s="4"/>
      <c r="U337" s="4"/>
      <c r="V337" s="4"/>
      <c r="W337" s="4">
        <v>0</v>
      </c>
      <c r="X337" s="4">
        <v>1</v>
      </c>
      <c r="Y337" s="4">
        <v>0</v>
      </c>
      <c r="Z337" s="4"/>
      <c r="AA337" s="4"/>
      <c r="AB337" s="4"/>
    </row>
    <row r="338" spans="1:28" ht="12.75">
      <c r="A338" s="4">
        <v>50</v>
      </c>
      <c r="B338" s="4">
        <v>0</v>
      </c>
      <c r="C338" s="4">
        <v>0</v>
      </c>
      <c r="D338" s="4">
        <v>2</v>
      </c>
      <c r="E338" s="4">
        <v>0</v>
      </c>
      <c r="F338" s="4">
        <v>0</v>
      </c>
      <c r="G338" s="4" t="s">
        <v>159</v>
      </c>
      <c r="H338" s="4" t="s">
        <v>160</v>
      </c>
      <c r="I338" s="4"/>
      <c r="J338" s="4"/>
      <c r="K338" s="4">
        <v>212</v>
      </c>
      <c r="L338" s="4">
        <v>34</v>
      </c>
      <c r="M338" s="4">
        <v>1</v>
      </c>
      <c r="N338" s="4" t="s">
        <v>3</v>
      </c>
      <c r="O338" s="4">
        <v>2</v>
      </c>
      <c r="P338" s="4"/>
      <c r="Q338" s="4"/>
      <c r="R338" s="4"/>
      <c r="S338" s="4"/>
      <c r="T338" s="4"/>
      <c r="U338" s="4"/>
      <c r="V338" s="4"/>
      <c r="W338" s="4">
        <v>0</v>
      </c>
      <c r="X338" s="4">
        <v>1</v>
      </c>
      <c r="Y338" s="4">
        <v>0</v>
      </c>
      <c r="Z338" s="4"/>
      <c r="AA338" s="4"/>
      <c r="AB338" s="4"/>
    </row>
    <row r="339" spans="1:28" ht="12.75">
      <c r="A339" s="4">
        <v>50</v>
      </c>
      <c r="B339" s="4">
        <v>1</v>
      </c>
      <c r="C339" s="4">
        <v>0</v>
      </c>
      <c r="D339" s="4">
        <v>2</v>
      </c>
      <c r="E339" s="4">
        <v>0</v>
      </c>
      <c r="F339" s="4">
        <v>112.94</v>
      </c>
      <c r="G339" s="4" t="s">
        <v>161</v>
      </c>
      <c r="H339" s="4" t="s">
        <v>162</v>
      </c>
      <c r="I339" s="4"/>
      <c r="J339" s="4"/>
      <c r="K339" s="4">
        <v>212</v>
      </c>
      <c r="L339" s="4">
        <v>35</v>
      </c>
      <c r="M339" s="4">
        <v>1</v>
      </c>
      <c r="N339" s="4" t="s">
        <v>3</v>
      </c>
      <c r="O339" s="4">
        <v>2</v>
      </c>
      <c r="P339" s="4"/>
      <c r="Q339" s="4"/>
      <c r="R339" s="4"/>
      <c r="S339" s="4"/>
      <c r="T339" s="4"/>
      <c r="U339" s="4"/>
      <c r="V339" s="4"/>
      <c r="W339" s="4">
        <v>112.94</v>
      </c>
      <c r="X339" s="4">
        <v>1</v>
      </c>
      <c r="Y339" s="4">
        <v>112.94</v>
      </c>
      <c r="Z339" s="4"/>
      <c r="AA339" s="4"/>
      <c r="AB339" s="4"/>
    </row>
    <row r="340" spans="1:28" ht="12.75">
      <c r="A340" s="4">
        <v>50</v>
      </c>
      <c r="B340" s="4">
        <f>IF(Source!F340=0,1,0)</f>
        <v>1</v>
      </c>
      <c r="C340" s="4">
        <v>0</v>
      </c>
      <c r="D340" s="4">
        <v>2</v>
      </c>
      <c r="E340" s="4">
        <v>0</v>
      </c>
      <c r="F340" s="4">
        <f>ROUND(ROUND((F335-F336-F337-F338-F339),0),O340)</f>
        <v>0</v>
      </c>
      <c r="G340" s="4" t="s">
        <v>163</v>
      </c>
      <c r="H340" s="4" t="s">
        <v>164</v>
      </c>
      <c r="I340" s="4"/>
      <c r="J340" s="4"/>
      <c r="K340" s="4">
        <v>212</v>
      </c>
      <c r="L340" s="4">
        <v>36</v>
      </c>
      <c r="M340" s="4">
        <v>2</v>
      </c>
      <c r="N340" s="4" t="s">
        <v>3</v>
      </c>
      <c r="O340" s="4">
        <v>0</v>
      </c>
      <c r="P340" s="4"/>
      <c r="Q340" s="4"/>
      <c r="R340" s="4"/>
      <c r="S340" s="4"/>
      <c r="T340" s="4"/>
      <c r="U340" s="4"/>
      <c r="V340" s="4"/>
      <c r="W340" s="4">
        <v>0</v>
      </c>
      <c r="X340" s="4">
        <v>1</v>
      </c>
      <c r="Y340" s="4">
        <v>3154</v>
      </c>
      <c r="Z340" s="4"/>
      <c r="AA340" s="4"/>
      <c r="AB340" s="4"/>
    </row>
    <row r="342" spans="1:206" ht="12.75">
      <c r="A342" s="2">
        <v>51</v>
      </c>
      <c r="B342" s="2">
        <f>B20</f>
        <v>1</v>
      </c>
      <c r="C342" s="2">
        <f>A20</f>
        <v>3</v>
      </c>
      <c r="D342" s="2">
        <f>ROW(A20)</f>
        <v>20</v>
      </c>
      <c r="E342" s="2"/>
      <c r="F342" s="2">
        <f>IF(F20&lt;&gt;"",F20,"")</f>
      </c>
      <c r="G342" s="2" t="str">
        <f>IF(G20&lt;&gt;"",G20,"")</f>
        <v>КЛ-1 кВ от РУ-0,4 кВ ТП-858 ф.3.3 до  муфты М1</v>
      </c>
      <c r="H342" s="2">
        <v>0</v>
      </c>
      <c r="I342" s="2"/>
      <c r="J342" s="2"/>
      <c r="K342" s="2"/>
      <c r="L342" s="2"/>
      <c r="M342" s="2"/>
      <c r="N342" s="2"/>
      <c r="O342" s="2">
        <f aca="true" t="shared" si="228" ref="O342:T342">ROUND(O41+O98+O145+O206+O257+O303+AB342,2)</f>
        <v>73612.93</v>
      </c>
      <c r="P342" s="2">
        <f t="shared" si="228"/>
        <v>46558.47</v>
      </c>
      <c r="Q342" s="2">
        <f t="shared" si="228"/>
        <v>25337.97</v>
      </c>
      <c r="R342" s="2">
        <f t="shared" si="228"/>
        <v>486.04</v>
      </c>
      <c r="S342" s="2">
        <f t="shared" si="228"/>
        <v>1716.49</v>
      </c>
      <c r="T342" s="2">
        <f t="shared" si="228"/>
        <v>0</v>
      </c>
      <c r="U342" s="2">
        <f>U41+U98+U145+U206+U257+U303+AH342</f>
        <v>194.96256616</v>
      </c>
      <c r="V342" s="2">
        <f>V41+V98+V145+V206+V257+V303+AI342</f>
        <v>38.75990456</v>
      </c>
      <c r="W342" s="2">
        <f>ROUND(W41+W98+W145+W206+W257+W303+AJ342,2)</f>
        <v>0</v>
      </c>
      <c r="X342" s="2">
        <f>ROUND(X41+X98+X145+X206+X257+X303+AK342,2)</f>
        <v>2219.04</v>
      </c>
      <c r="Y342" s="2">
        <f>ROUND(Y41+Y98+Y145+Y206+Y257+Y303+AL342,2)</f>
        <v>1177.39</v>
      </c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>
        <f aca="true" t="shared" si="229" ref="AO342:BD342">ROUND(AO41+AO98+AO145+AO206+AO257+AO303+BX342,2)</f>
        <v>0</v>
      </c>
      <c r="AP342" s="2">
        <f t="shared" si="229"/>
        <v>0</v>
      </c>
      <c r="AQ342" s="2">
        <f t="shared" si="229"/>
        <v>0</v>
      </c>
      <c r="AR342" s="2">
        <f t="shared" si="229"/>
        <v>77009.36</v>
      </c>
      <c r="AS342" s="2">
        <f t="shared" si="229"/>
        <v>31007.14</v>
      </c>
      <c r="AT342" s="2">
        <f t="shared" si="229"/>
        <v>45889.28</v>
      </c>
      <c r="AU342" s="2">
        <f t="shared" si="229"/>
        <v>112.94</v>
      </c>
      <c r="AV342" s="2">
        <f t="shared" si="229"/>
        <v>46558.47</v>
      </c>
      <c r="AW342" s="2">
        <f t="shared" si="229"/>
        <v>46558.47</v>
      </c>
      <c r="AX342" s="2">
        <f t="shared" si="229"/>
        <v>0</v>
      </c>
      <c r="AY342" s="2">
        <f t="shared" si="229"/>
        <v>46558.47</v>
      </c>
      <c r="AZ342" s="2">
        <f t="shared" si="229"/>
        <v>0</v>
      </c>
      <c r="BA342" s="2">
        <f t="shared" si="229"/>
        <v>0</v>
      </c>
      <c r="BB342" s="2">
        <f t="shared" si="229"/>
        <v>0</v>
      </c>
      <c r="BC342" s="2">
        <f t="shared" si="229"/>
        <v>0</v>
      </c>
      <c r="BD342" s="2">
        <f t="shared" si="229"/>
        <v>297.59</v>
      </c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>
        <v>0</v>
      </c>
    </row>
    <row r="344" spans="1:28" ht="12.75">
      <c r="A344" s="4">
        <v>50</v>
      </c>
      <c r="B344" s="4">
        <v>0</v>
      </c>
      <c r="C344" s="4">
        <v>0</v>
      </c>
      <c r="D344" s="4">
        <v>1</v>
      </c>
      <c r="E344" s="4">
        <v>0</v>
      </c>
      <c r="F344" s="4">
        <f>ROUND(Source!O342,O344)</f>
        <v>73612.93</v>
      </c>
      <c r="G344" s="4" t="s">
        <v>95</v>
      </c>
      <c r="H344" s="4" t="s">
        <v>96</v>
      </c>
      <c r="I344" s="4"/>
      <c r="J344" s="4"/>
      <c r="K344" s="4">
        <v>201</v>
      </c>
      <c r="L344" s="4">
        <v>1</v>
      </c>
      <c r="M344" s="4">
        <v>3</v>
      </c>
      <c r="N344" s="4" t="s">
        <v>3</v>
      </c>
      <c r="O344" s="4">
        <v>2</v>
      </c>
      <c r="P344" s="4"/>
      <c r="Q344" s="4"/>
      <c r="R344" s="4"/>
      <c r="S344" s="4"/>
      <c r="T344" s="4"/>
      <c r="U344" s="4"/>
      <c r="V344" s="4"/>
      <c r="W344" s="4">
        <v>73612.93000000001</v>
      </c>
      <c r="X344" s="4">
        <v>1</v>
      </c>
      <c r="Y344" s="4">
        <v>485043.33</v>
      </c>
      <c r="Z344" s="4"/>
      <c r="AA344" s="4"/>
      <c r="AB344" s="4"/>
    </row>
    <row r="345" spans="1:28" ht="12.75">
      <c r="A345" s="4">
        <v>50</v>
      </c>
      <c r="B345" s="4">
        <v>0</v>
      </c>
      <c r="C345" s="4">
        <v>0</v>
      </c>
      <c r="D345" s="4">
        <v>1</v>
      </c>
      <c r="E345" s="4">
        <v>202</v>
      </c>
      <c r="F345" s="4">
        <f>ROUND(Source!P342,O345)</f>
        <v>46558.47</v>
      </c>
      <c r="G345" s="4" t="s">
        <v>97</v>
      </c>
      <c r="H345" s="4" t="s">
        <v>98</v>
      </c>
      <c r="I345" s="4"/>
      <c r="J345" s="4"/>
      <c r="K345" s="4">
        <v>202</v>
      </c>
      <c r="L345" s="4">
        <v>2</v>
      </c>
      <c r="M345" s="4">
        <v>3</v>
      </c>
      <c r="N345" s="4" t="s">
        <v>3</v>
      </c>
      <c r="O345" s="4">
        <v>2</v>
      </c>
      <c r="P345" s="4"/>
      <c r="Q345" s="4"/>
      <c r="R345" s="4"/>
      <c r="S345" s="4"/>
      <c r="T345" s="4"/>
      <c r="U345" s="4"/>
      <c r="V345" s="4"/>
      <c r="W345" s="4">
        <v>46558.47</v>
      </c>
      <c r="X345" s="4">
        <v>1</v>
      </c>
      <c r="Y345" s="4">
        <v>0</v>
      </c>
      <c r="Z345" s="4"/>
      <c r="AA345" s="4"/>
      <c r="AB345" s="4"/>
    </row>
    <row r="346" spans="1:28" ht="12.75">
      <c r="A346" s="4">
        <v>50</v>
      </c>
      <c r="B346" s="4">
        <v>0</v>
      </c>
      <c r="C346" s="4">
        <v>0</v>
      </c>
      <c r="D346" s="4">
        <v>1</v>
      </c>
      <c r="E346" s="4">
        <v>222</v>
      </c>
      <c r="F346" s="4">
        <f>ROUND(Source!AO342,O346)</f>
        <v>0</v>
      </c>
      <c r="G346" s="4" t="s">
        <v>99</v>
      </c>
      <c r="H346" s="4" t="s">
        <v>100</v>
      </c>
      <c r="I346" s="4"/>
      <c r="J346" s="4"/>
      <c r="K346" s="4">
        <v>222</v>
      </c>
      <c r="L346" s="4">
        <v>3</v>
      </c>
      <c r="M346" s="4">
        <v>3</v>
      </c>
      <c r="N346" s="4" t="s">
        <v>3</v>
      </c>
      <c r="O346" s="4">
        <v>2</v>
      </c>
      <c r="P346" s="4"/>
      <c r="Q346" s="4"/>
      <c r="R346" s="4"/>
      <c r="S346" s="4"/>
      <c r="T346" s="4"/>
      <c r="U346" s="4"/>
      <c r="V346" s="4"/>
      <c r="W346" s="4">
        <v>0</v>
      </c>
      <c r="X346" s="4">
        <v>1</v>
      </c>
      <c r="Y346" s="4">
        <v>0</v>
      </c>
      <c r="Z346" s="4"/>
      <c r="AA346" s="4"/>
      <c r="AB346" s="4"/>
    </row>
    <row r="347" spans="1:28" ht="12.75">
      <c r="A347" s="4">
        <v>50</v>
      </c>
      <c r="B347" s="4">
        <v>0</v>
      </c>
      <c r="C347" s="4">
        <v>0</v>
      </c>
      <c r="D347" s="4">
        <v>1</v>
      </c>
      <c r="E347" s="4">
        <v>225</v>
      </c>
      <c r="F347" s="4">
        <f>ROUND(Source!AV342,O347)</f>
        <v>46558.47</v>
      </c>
      <c r="G347" s="4" t="s">
        <v>101</v>
      </c>
      <c r="H347" s="4" t="s">
        <v>102</v>
      </c>
      <c r="I347" s="4"/>
      <c r="J347" s="4"/>
      <c r="K347" s="4">
        <v>225</v>
      </c>
      <c r="L347" s="4">
        <v>4</v>
      </c>
      <c r="M347" s="4">
        <v>3</v>
      </c>
      <c r="N347" s="4" t="s">
        <v>3</v>
      </c>
      <c r="O347" s="4">
        <v>2</v>
      </c>
      <c r="P347" s="4"/>
      <c r="Q347" s="4"/>
      <c r="R347" s="4"/>
      <c r="S347" s="4"/>
      <c r="T347" s="4"/>
      <c r="U347" s="4"/>
      <c r="V347" s="4"/>
      <c r="W347" s="4">
        <v>46558.47</v>
      </c>
      <c r="X347" s="4">
        <v>1</v>
      </c>
      <c r="Y347" s="4">
        <v>0</v>
      </c>
      <c r="Z347" s="4"/>
      <c r="AA347" s="4"/>
      <c r="AB347" s="4"/>
    </row>
    <row r="348" spans="1:28" ht="12.75">
      <c r="A348" s="4">
        <v>50</v>
      </c>
      <c r="B348" s="4">
        <v>0</v>
      </c>
      <c r="C348" s="4">
        <v>0</v>
      </c>
      <c r="D348" s="4">
        <v>1</v>
      </c>
      <c r="E348" s="4">
        <v>226</v>
      </c>
      <c r="F348" s="4">
        <f>ROUND(Source!AW342,O348)</f>
        <v>46558.47</v>
      </c>
      <c r="G348" s="4" t="s">
        <v>103</v>
      </c>
      <c r="H348" s="4" t="s">
        <v>104</v>
      </c>
      <c r="I348" s="4"/>
      <c r="J348" s="4"/>
      <c r="K348" s="4">
        <v>226</v>
      </c>
      <c r="L348" s="4">
        <v>5</v>
      </c>
      <c r="M348" s="4">
        <v>3</v>
      </c>
      <c r="N348" s="4" t="s">
        <v>3</v>
      </c>
      <c r="O348" s="4">
        <v>2</v>
      </c>
      <c r="P348" s="4"/>
      <c r="Q348" s="4"/>
      <c r="R348" s="4"/>
      <c r="S348" s="4"/>
      <c r="T348" s="4"/>
      <c r="U348" s="4"/>
      <c r="V348" s="4"/>
      <c r="W348" s="4">
        <v>46558.47</v>
      </c>
      <c r="X348" s="4">
        <v>1</v>
      </c>
      <c r="Y348" s="4">
        <v>239776.12</v>
      </c>
      <c r="Z348" s="4"/>
      <c r="AA348" s="4"/>
      <c r="AB348" s="4"/>
    </row>
    <row r="349" spans="1:28" ht="12.75">
      <c r="A349" s="4">
        <v>50</v>
      </c>
      <c r="B349" s="4">
        <v>0</v>
      </c>
      <c r="C349" s="4">
        <v>0</v>
      </c>
      <c r="D349" s="4">
        <v>1</v>
      </c>
      <c r="E349" s="4">
        <v>227</v>
      </c>
      <c r="F349" s="4">
        <f>ROUND(Source!AX342,O349)</f>
        <v>0</v>
      </c>
      <c r="G349" s="4" t="s">
        <v>105</v>
      </c>
      <c r="H349" s="4" t="s">
        <v>106</v>
      </c>
      <c r="I349" s="4"/>
      <c r="J349" s="4"/>
      <c r="K349" s="4">
        <v>227</v>
      </c>
      <c r="L349" s="4">
        <v>6</v>
      </c>
      <c r="M349" s="4">
        <v>3</v>
      </c>
      <c r="N349" s="4" t="s">
        <v>3</v>
      </c>
      <c r="O349" s="4">
        <v>2</v>
      </c>
      <c r="P349" s="4"/>
      <c r="Q349" s="4"/>
      <c r="R349" s="4"/>
      <c r="S349" s="4"/>
      <c r="T349" s="4"/>
      <c r="U349" s="4"/>
      <c r="V349" s="4"/>
      <c r="W349" s="4">
        <v>0</v>
      </c>
      <c r="X349" s="4">
        <v>1</v>
      </c>
      <c r="Y349" s="4">
        <v>0</v>
      </c>
      <c r="Z349" s="4"/>
      <c r="AA349" s="4"/>
      <c r="AB349" s="4"/>
    </row>
    <row r="350" spans="1:28" ht="12.75">
      <c r="A350" s="4">
        <v>50</v>
      </c>
      <c r="B350" s="4">
        <v>0</v>
      </c>
      <c r="C350" s="4">
        <v>0</v>
      </c>
      <c r="D350" s="4">
        <v>1</v>
      </c>
      <c r="E350" s="4">
        <v>228</v>
      </c>
      <c r="F350" s="4">
        <f>ROUND(Source!AY342,O350)</f>
        <v>46558.47</v>
      </c>
      <c r="G350" s="4" t="s">
        <v>107</v>
      </c>
      <c r="H350" s="4" t="s">
        <v>108</v>
      </c>
      <c r="I350" s="4"/>
      <c r="J350" s="4"/>
      <c r="K350" s="4">
        <v>228</v>
      </c>
      <c r="L350" s="4">
        <v>7</v>
      </c>
      <c r="M350" s="4">
        <v>3</v>
      </c>
      <c r="N350" s="4" t="s">
        <v>3</v>
      </c>
      <c r="O350" s="4">
        <v>2</v>
      </c>
      <c r="P350" s="4"/>
      <c r="Q350" s="4"/>
      <c r="R350" s="4"/>
      <c r="S350" s="4"/>
      <c r="T350" s="4"/>
      <c r="U350" s="4"/>
      <c r="V350" s="4"/>
      <c r="W350" s="4">
        <v>46558.47</v>
      </c>
      <c r="X350" s="4">
        <v>1</v>
      </c>
      <c r="Y350" s="4">
        <v>239776.12</v>
      </c>
      <c r="Z350" s="4"/>
      <c r="AA350" s="4"/>
      <c r="AB350" s="4"/>
    </row>
    <row r="351" spans="1:28" ht="12.75">
      <c r="A351" s="4">
        <v>50</v>
      </c>
      <c r="B351" s="4">
        <v>0</v>
      </c>
      <c r="C351" s="4">
        <v>0</v>
      </c>
      <c r="D351" s="4">
        <v>1</v>
      </c>
      <c r="E351" s="4">
        <v>216</v>
      </c>
      <c r="F351" s="4">
        <f>ROUND(Source!AP342,O351)</f>
        <v>0</v>
      </c>
      <c r="G351" s="4" t="s">
        <v>109</v>
      </c>
      <c r="H351" s="4" t="s">
        <v>110</v>
      </c>
      <c r="I351" s="4"/>
      <c r="J351" s="4"/>
      <c r="K351" s="4">
        <v>216</v>
      </c>
      <c r="L351" s="4">
        <v>8</v>
      </c>
      <c r="M351" s="4">
        <v>3</v>
      </c>
      <c r="N351" s="4" t="s">
        <v>3</v>
      </c>
      <c r="O351" s="4">
        <v>2</v>
      </c>
      <c r="P351" s="4"/>
      <c r="Q351" s="4"/>
      <c r="R351" s="4"/>
      <c r="S351" s="4"/>
      <c r="T351" s="4"/>
      <c r="U351" s="4"/>
      <c r="V351" s="4"/>
      <c r="W351" s="4">
        <v>0</v>
      </c>
      <c r="X351" s="4">
        <v>1</v>
      </c>
      <c r="Y351" s="4">
        <v>0</v>
      </c>
      <c r="Z351" s="4"/>
      <c r="AA351" s="4"/>
      <c r="AB351" s="4"/>
    </row>
    <row r="352" spans="1:28" ht="12.75">
      <c r="A352" s="4">
        <v>50</v>
      </c>
      <c r="B352" s="4">
        <v>0</v>
      </c>
      <c r="C352" s="4">
        <v>0</v>
      </c>
      <c r="D352" s="4">
        <v>1</v>
      </c>
      <c r="E352" s="4">
        <v>223</v>
      </c>
      <c r="F352" s="4">
        <f>ROUND(Source!AQ342,O352)</f>
        <v>0</v>
      </c>
      <c r="G352" s="4" t="s">
        <v>111</v>
      </c>
      <c r="H352" s="4" t="s">
        <v>112</v>
      </c>
      <c r="I352" s="4"/>
      <c r="J352" s="4"/>
      <c r="K352" s="4">
        <v>223</v>
      </c>
      <c r="L352" s="4">
        <v>9</v>
      </c>
      <c r="M352" s="4">
        <v>3</v>
      </c>
      <c r="N352" s="4" t="s">
        <v>3</v>
      </c>
      <c r="O352" s="4">
        <v>2</v>
      </c>
      <c r="P352" s="4"/>
      <c r="Q352" s="4"/>
      <c r="R352" s="4"/>
      <c r="S352" s="4"/>
      <c r="T352" s="4"/>
      <c r="U352" s="4"/>
      <c r="V352" s="4"/>
      <c r="W352" s="4">
        <v>0</v>
      </c>
      <c r="X352" s="4">
        <v>1</v>
      </c>
      <c r="Y352" s="4">
        <v>0</v>
      </c>
      <c r="Z352" s="4"/>
      <c r="AA352" s="4"/>
      <c r="AB352" s="4"/>
    </row>
    <row r="353" spans="1:28" ht="12.75">
      <c r="A353" s="4">
        <v>50</v>
      </c>
      <c r="B353" s="4">
        <v>0</v>
      </c>
      <c r="C353" s="4">
        <v>0</v>
      </c>
      <c r="D353" s="4">
        <v>1</v>
      </c>
      <c r="E353" s="4">
        <v>229</v>
      </c>
      <c r="F353" s="4">
        <f>ROUND(Source!AZ342,O353)</f>
        <v>0</v>
      </c>
      <c r="G353" s="4" t="s">
        <v>113</v>
      </c>
      <c r="H353" s="4" t="s">
        <v>114</v>
      </c>
      <c r="I353" s="4"/>
      <c r="J353" s="4"/>
      <c r="K353" s="4">
        <v>229</v>
      </c>
      <c r="L353" s="4">
        <v>10</v>
      </c>
      <c r="M353" s="4">
        <v>3</v>
      </c>
      <c r="N353" s="4" t="s">
        <v>3</v>
      </c>
      <c r="O353" s="4">
        <v>2</v>
      </c>
      <c r="P353" s="4"/>
      <c r="Q353" s="4"/>
      <c r="R353" s="4"/>
      <c r="S353" s="4"/>
      <c r="T353" s="4"/>
      <c r="U353" s="4"/>
      <c r="V353" s="4"/>
      <c r="W353" s="4">
        <v>0</v>
      </c>
      <c r="X353" s="4">
        <v>1</v>
      </c>
      <c r="Y353" s="4">
        <v>0</v>
      </c>
      <c r="Z353" s="4"/>
      <c r="AA353" s="4"/>
      <c r="AB353" s="4"/>
    </row>
    <row r="354" spans="1:28" ht="12.75">
      <c r="A354" s="4">
        <v>50</v>
      </c>
      <c r="B354" s="4">
        <v>0</v>
      </c>
      <c r="C354" s="4">
        <v>0</v>
      </c>
      <c r="D354" s="4">
        <v>1</v>
      </c>
      <c r="E354" s="4">
        <v>203</v>
      </c>
      <c r="F354" s="4">
        <f>ROUND(Source!Q342,O354)</f>
        <v>25337.97</v>
      </c>
      <c r="G354" s="4" t="s">
        <v>115</v>
      </c>
      <c r="H354" s="4" t="s">
        <v>116</v>
      </c>
      <c r="I354" s="4"/>
      <c r="J354" s="4"/>
      <c r="K354" s="4">
        <v>203</v>
      </c>
      <c r="L354" s="4">
        <v>11</v>
      </c>
      <c r="M354" s="4">
        <v>3</v>
      </c>
      <c r="N354" s="4" t="s">
        <v>3</v>
      </c>
      <c r="O354" s="4">
        <v>2</v>
      </c>
      <c r="P354" s="4"/>
      <c r="Q354" s="4"/>
      <c r="R354" s="4"/>
      <c r="S354" s="4"/>
      <c r="T354" s="4"/>
      <c r="U354" s="4"/>
      <c r="V354" s="4"/>
      <c r="W354" s="4">
        <v>25040.38</v>
      </c>
      <c r="X354" s="4">
        <v>1</v>
      </c>
      <c r="Y354" s="4">
        <v>193311.73</v>
      </c>
      <c r="Z354" s="4"/>
      <c r="AA354" s="4"/>
      <c r="AB354" s="4"/>
    </row>
    <row r="355" spans="1:28" ht="12.75">
      <c r="A355" s="4">
        <v>50</v>
      </c>
      <c r="B355" s="4">
        <v>0</v>
      </c>
      <c r="C355" s="4">
        <v>0</v>
      </c>
      <c r="D355" s="4">
        <v>1</v>
      </c>
      <c r="E355" s="4">
        <v>231</v>
      </c>
      <c r="F355" s="4">
        <f>ROUND(Source!BB342,O355)</f>
        <v>0</v>
      </c>
      <c r="G355" s="4" t="s">
        <v>117</v>
      </c>
      <c r="H355" s="4" t="s">
        <v>118</v>
      </c>
      <c r="I355" s="4"/>
      <c r="J355" s="4"/>
      <c r="K355" s="4">
        <v>231</v>
      </c>
      <c r="L355" s="4">
        <v>12</v>
      </c>
      <c r="M355" s="4">
        <v>3</v>
      </c>
      <c r="N355" s="4" t="s">
        <v>3</v>
      </c>
      <c r="O355" s="4">
        <v>2</v>
      </c>
      <c r="P355" s="4"/>
      <c r="Q355" s="4"/>
      <c r="R355" s="4"/>
      <c r="S355" s="4"/>
      <c r="T355" s="4"/>
      <c r="U355" s="4"/>
      <c r="V355" s="4"/>
      <c r="W355" s="4">
        <v>0</v>
      </c>
      <c r="X355" s="4">
        <v>1</v>
      </c>
      <c r="Y355" s="4">
        <v>0</v>
      </c>
      <c r="Z355" s="4"/>
      <c r="AA355" s="4"/>
      <c r="AB355" s="4"/>
    </row>
    <row r="356" spans="1:28" ht="12.75">
      <c r="A356" s="4">
        <v>50</v>
      </c>
      <c r="B356" s="4">
        <v>0</v>
      </c>
      <c r="C356" s="4">
        <v>0</v>
      </c>
      <c r="D356" s="4">
        <v>1</v>
      </c>
      <c r="E356" s="4">
        <v>204</v>
      </c>
      <c r="F356" s="4">
        <f>ROUND(Source!R342,O356)</f>
        <v>486.04</v>
      </c>
      <c r="G356" s="4" t="s">
        <v>119</v>
      </c>
      <c r="H356" s="4" t="s">
        <v>120</v>
      </c>
      <c r="I356" s="4"/>
      <c r="J356" s="4"/>
      <c r="K356" s="4">
        <v>204</v>
      </c>
      <c r="L356" s="4">
        <v>13</v>
      </c>
      <c r="M356" s="4">
        <v>3</v>
      </c>
      <c r="N356" s="4" t="s">
        <v>3</v>
      </c>
      <c r="O356" s="4">
        <v>2</v>
      </c>
      <c r="P356" s="4"/>
      <c r="Q356" s="4"/>
      <c r="R356" s="4"/>
      <c r="S356" s="4"/>
      <c r="T356" s="4"/>
      <c r="U356" s="4"/>
      <c r="V356" s="4"/>
      <c r="W356" s="4">
        <v>486.04</v>
      </c>
      <c r="X356" s="4">
        <v>1</v>
      </c>
      <c r="Y356" s="4">
        <v>14061.16</v>
      </c>
      <c r="Z356" s="4"/>
      <c r="AA356" s="4"/>
      <c r="AB356" s="4"/>
    </row>
    <row r="357" spans="1:28" ht="12.75">
      <c r="A357" s="4">
        <v>50</v>
      </c>
      <c r="B357" s="4">
        <v>0</v>
      </c>
      <c r="C357" s="4">
        <v>0</v>
      </c>
      <c r="D357" s="4">
        <v>1</v>
      </c>
      <c r="E357" s="4">
        <v>205</v>
      </c>
      <c r="F357" s="4">
        <f>ROUND(Source!S342,O357)</f>
        <v>1716.49</v>
      </c>
      <c r="G357" s="4" t="s">
        <v>121</v>
      </c>
      <c r="H357" s="4" t="s">
        <v>122</v>
      </c>
      <c r="I357" s="4"/>
      <c r="J357" s="4"/>
      <c r="K357" s="4">
        <v>205</v>
      </c>
      <c r="L357" s="4">
        <v>14</v>
      </c>
      <c r="M357" s="4">
        <v>3</v>
      </c>
      <c r="N357" s="4" t="s">
        <v>3</v>
      </c>
      <c r="O357" s="4">
        <v>2</v>
      </c>
      <c r="P357" s="4"/>
      <c r="Q357" s="4"/>
      <c r="R357" s="4"/>
      <c r="S357" s="4"/>
      <c r="T357" s="4"/>
      <c r="U357" s="4"/>
      <c r="V357" s="4"/>
      <c r="W357" s="4">
        <v>1716.49</v>
      </c>
      <c r="X357" s="4">
        <v>1</v>
      </c>
      <c r="Y357" s="4">
        <v>49658.090000000004</v>
      </c>
      <c r="Z357" s="4"/>
      <c r="AA357" s="4"/>
      <c r="AB357" s="4"/>
    </row>
    <row r="358" spans="1:28" ht="12.75">
      <c r="A358" s="4">
        <v>50</v>
      </c>
      <c r="B358" s="4">
        <v>0</v>
      </c>
      <c r="C358" s="4">
        <v>0</v>
      </c>
      <c r="D358" s="4">
        <v>1</v>
      </c>
      <c r="E358" s="4">
        <v>232</v>
      </c>
      <c r="F358" s="4">
        <f>ROUND(Source!BC342,O358)</f>
        <v>0</v>
      </c>
      <c r="G358" s="4" t="s">
        <v>123</v>
      </c>
      <c r="H358" s="4" t="s">
        <v>124</v>
      </c>
      <c r="I358" s="4"/>
      <c r="J358" s="4"/>
      <c r="K358" s="4">
        <v>232</v>
      </c>
      <c r="L358" s="4">
        <v>15</v>
      </c>
      <c r="M358" s="4">
        <v>3</v>
      </c>
      <c r="N358" s="4" t="s">
        <v>3</v>
      </c>
      <c r="O358" s="4">
        <v>2</v>
      </c>
      <c r="P358" s="4"/>
      <c r="Q358" s="4"/>
      <c r="R358" s="4"/>
      <c r="S358" s="4"/>
      <c r="T358" s="4"/>
      <c r="U358" s="4"/>
      <c r="V358" s="4"/>
      <c r="W358" s="4">
        <v>0</v>
      </c>
      <c r="X358" s="4">
        <v>1</v>
      </c>
      <c r="Y358" s="4">
        <v>0</v>
      </c>
      <c r="Z358" s="4"/>
      <c r="AA358" s="4"/>
      <c r="AB358" s="4"/>
    </row>
    <row r="359" spans="1:28" ht="12.75">
      <c r="A359" s="4">
        <v>50</v>
      </c>
      <c r="B359" s="4">
        <v>0</v>
      </c>
      <c r="C359" s="4">
        <v>0</v>
      </c>
      <c r="D359" s="4">
        <v>1</v>
      </c>
      <c r="E359" s="4">
        <v>214</v>
      </c>
      <c r="F359" s="4">
        <f>ROUND(Source!AS342,O359)</f>
        <v>31007.14</v>
      </c>
      <c r="G359" s="4" t="s">
        <v>125</v>
      </c>
      <c r="H359" s="4" t="s">
        <v>126</v>
      </c>
      <c r="I359" s="4"/>
      <c r="J359" s="4"/>
      <c r="K359" s="4">
        <v>214</v>
      </c>
      <c r="L359" s="4">
        <v>16</v>
      </c>
      <c r="M359" s="4">
        <v>3</v>
      </c>
      <c r="N359" s="4" t="s">
        <v>3</v>
      </c>
      <c r="O359" s="4">
        <v>2</v>
      </c>
      <c r="P359" s="4"/>
      <c r="Q359" s="4"/>
      <c r="R359" s="4"/>
      <c r="S359" s="4"/>
      <c r="T359" s="4"/>
      <c r="U359" s="4"/>
      <c r="V359" s="4"/>
      <c r="W359" s="4">
        <v>31007.14</v>
      </c>
      <c r="X359" s="4">
        <v>1</v>
      </c>
      <c r="Y359" s="4">
        <v>292633.03</v>
      </c>
      <c r="Z359" s="4"/>
      <c r="AA359" s="4"/>
      <c r="AB359" s="4"/>
    </row>
    <row r="360" spans="1:28" ht="12.75">
      <c r="A360" s="4">
        <v>50</v>
      </c>
      <c r="B360" s="4">
        <v>0</v>
      </c>
      <c r="C360" s="4">
        <v>0</v>
      </c>
      <c r="D360" s="4">
        <v>1</v>
      </c>
      <c r="E360" s="4">
        <v>215</v>
      </c>
      <c r="F360" s="4">
        <f>ROUND(Source!AT342,O360)</f>
        <v>45889.28</v>
      </c>
      <c r="G360" s="4" t="s">
        <v>127</v>
      </c>
      <c r="H360" s="4" t="s">
        <v>128</v>
      </c>
      <c r="I360" s="4"/>
      <c r="J360" s="4"/>
      <c r="K360" s="4">
        <v>215</v>
      </c>
      <c r="L360" s="4">
        <v>17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>
        <v>45889.28</v>
      </c>
      <c r="X360" s="4">
        <v>1</v>
      </c>
      <c r="Y360" s="4">
        <v>287402.19</v>
      </c>
      <c r="Z360" s="4"/>
      <c r="AA360" s="4"/>
      <c r="AB360" s="4"/>
    </row>
    <row r="361" spans="1:28" ht="12.75">
      <c r="A361" s="4">
        <v>50</v>
      </c>
      <c r="B361" s="4">
        <v>0</v>
      </c>
      <c r="C361" s="4">
        <v>0</v>
      </c>
      <c r="D361" s="4">
        <v>1</v>
      </c>
      <c r="E361" s="4">
        <v>217</v>
      </c>
      <c r="F361" s="4">
        <f>ROUND(Source!AU342,O361)</f>
        <v>112.94</v>
      </c>
      <c r="G361" s="4" t="s">
        <v>129</v>
      </c>
      <c r="H361" s="4" t="s">
        <v>130</v>
      </c>
      <c r="I361" s="4"/>
      <c r="J361" s="4"/>
      <c r="K361" s="4">
        <v>217</v>
      </c>
      <c r="L361" s="4">
        <v>18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>
        <v>112.94000000000001</v>
      </c>
      <c r="X361" s="4">
        <v>1</v>
      </c>
      <c r="Y361" s="4">
        <v>3267.2999999999997</v>
      </c>
      <c r="Z361" s="4"/>
      <c r="AA361" s="4"/>
      <c r="AB361" s="4"/>
    </row>
    <row r="362" spans="1:28" ht="12.75">
      <c r="A362" s="4">
        <v>50</v>
      </c>
      <c r="B362" s="4">
        <v>0</v>
      </c>
      <c r="C362" s="4">
        <v>0</v>
      </c>
      <c r="D362" s="4">
        <v>1</v>
      </c>
      <c r="E362" s="4">
        <v>230</v>
      </c>
      <c r="F362" s="4">
        <f>ROUND(Source!BA342,O362)</f>
        <v>0</v>
      </c>
      <c r="G362" s="4" t="s">
        <v>131</v>
      </c>
      <c r="H362" s="4" t="s">
        <v>132</v>
      </c>
      <c r="I362" s="4"/>
      <c r="J362" s="4"/>
      <c r="K362" s="4">
        <v>230</v>
      </c>
      <c r="L362" s="4">
        <v>19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>
        <v>0</v>
      </c>
      <c r="X362" s="4">
        <v>1</v>
      </c>
      <c r="Y362" s="4">
        <v>0</v>
      </c>
      <c r="Z362" s="4"/>
      <c r="AA362" s="4"/>
      <c r="AB362" s="4"/>
    </row>
    <row r="363" spans="1:28" ht="12.75">
      <c r="A363" s="4">
        <v>50</v>
      </c>
      <c r="B363" s="4">
        <v>0</v>
      </c>
      <c r="C363" s="4">
        <v>0</v>
      </c>
      <c r="D363" s="4">
        <v>1</v>
      </c>
      <c r="E363" s="4">
        <v>206</v>
      </c>
      <c r="F363" s="4">
        <f>ROUND(Source!T342,O363)</f>
        <v>0</v>
      </c>
      <c r="G363" s="4" t="s">
        <v>133</v>
      </c>
      <c r="H363" s="4" t="s">
        <v>134</v>
      </c>
      <c r="I363" s="4"/>
      <c r="J363" s="4"/>
      <c r="K363" s="4">
        <v>206</v>
      </c>
      <c r="L363" s="4">
        <v>20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>
        <v>0</v>
      </c>
      <c r="X363" s="4">
        <v>1</v>
      </c>
      <c r="Y363" s="4">
        <v>0</v>
      </c>
      <c r="Z363" s="4"/>
      <c r="AA363" s="4"/>
      <c r="AB363" s="4"/>
    </row>
    <row r="364" spans="1:28" ht="12.75">
      <c r="A364" s="4">
        <v>50</v>
      </c>
      <c r="B364" s="4">
        <v>0</v>
      </c>
      <c r="C364" s="4">
        <v>0</v>
      </c>
      <c r="D364" s="4">
        <v>1</v>
      </c>
      <c r="E364" s="4">
        <v>207</v>
      </c>
      <c r="F364" s="4">
        <f>Source!U342</f>
        <v>194.96256616</v>
      </c>
      <c r="G364" s="4" t="s">
        <v>135</v>
      </c>
      <c r="H364" s="4" t="s">
        <v>136</v>
      </c>
      <c r="I364" s="4"/>
      <c r="J364" s="4"/>
      <c r="K364" s="4">
        <v>207</v>
      </c>
      <c r="L364" s="4">
        <v>21</v>
      </c>
      <c r="M364" s="4">
        <v>3</v>
      </c>
      <c r="N364" s="4" t="s">
        <v>3</v>
      </c>
      <c r="O364" s="4">
        <v>-1</v>
      </c>
      <c r="P364" s="4"/>
      <c r="Q364" s="4"/>
      <c r="R364" s="4"/>
      <c r="S364" s="4"/>
      <c r="T364" s="4"/>
      <c r="U364" s="4"/>
      <c r="V364" s="4"/>
      <c r="W364" s="4">
        <v>194.9625662</v>
      </c>
      <c r="X364" s="4">
        <v>1</v>
      </c>
      <c r="Y364" s="4">
        <v>194.9625662</v>
      </c>
      <c r="Z364" s="4"/>
      <c r="AA364" s="4"/>
      <c r="AB364" s="4"/>
    </row>
    <row r="365" spans="1:28" ht="12.75">
      <c r="A365" s="4">
        <v>50</v>
      </c>
      <c r="B365" s="4">
        <v>0</v>
      </c>
      <c r="C365" s="4">
        <v>0</v>
      </c>
      <c r="D365" s="4">
        <v>1</v>
      </c>
      <c r="E365" s="4">
        <v>208</v>
      </c>
      <c r="F365" s="4">
        <f>Source!V342</f>
        <v>38.75990456</v>
      </c>
      <c r="G365" s="4" t="s">
        <v>137</v>
      </c>
      <c r="H365" s="4" t="s">
        <v>138</v>
      </c>
      <c r="I365" s="4"/>
      <c r="J365" s="4"/>
      <c r="K365" s="4">
        <v>208</v>
      </c>
      <c r="L365" s="4">
        <v>22</v>
      </c>
      <c r="M365" s="4">
        <v>3</v>
      </c>
      <c r="N365" s="4" t="s">
        <v>3</v>
      </c>
      <c r="O365" s="4">
        <v>-1</v>
      </c>
      <c r="P365" s="4"/>
      <c r="Q365" s="4"/>
      <c r="R365" s="4"/>
      <c r="S365" s="4"/>
      <c r="T365" s="4"/>
      <c r="U365" s="4"/>
      <c r="V365" s="4"/>
      <c r="W365" s="4">
        <v>38.7599046</v>
      </c>
      <c r="X365" s="4">
        <v>1</v>
      </c>
      <c r="Y365" s="4">
        <v>38.7599046</v>
      </c>
      <c r="Z365" s="4"/>
      <c r="AA365" s="4"/>
      <c r="AB365" s="4"/>
    </row>
    <row r="366" spans="1:28" ht="12.75">
      <c r="A366" s="4">
        <v>50</v>
      </c>
      <c r="B366" s="4">
        <v>0</v>
      </c>
      <c r="C366" s="4">
        <v>0</v>
      </c>
      <c r="D366" s="4">
        <v>1</v>
      </c>
      <c r="E366" s="4">
        <v>209</v>
      </c>
      <c r="F366" s="4">
        <f>ROUND(Source!W342,O366)</f>
        <v>0</v>
      </c>
      <c r="G366" s="4" t="s">
        <v>139</v>
      </c>
      <c r="H366" s="4" t="s">
        <v>140</v>
      </c>
      <c r="I366" s="4"/>
      <c r="J366" s="4"/>
      <c r="K366" s="4">
        <v>209</v>
      </c>
      <c r="L366" s="4">
        <v>23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>
        <v>0</v>
      </c>
      <c r="X366" s="4">
        <v>1</v>
      </c>
      <c r="Y366" s="4">
        <v>0</v>
      </c>
      <c r="Z366" s="4"/>
      <c r="AA366" s="4"/>
      <c r="AB366" s="4"/>
    </row>
    <row r="367" spans="1:28" ht="12.75">
      <c r="A367" s="4">
        <v>50</v>
      </c>
      <c r="B367" s="4">
        <v>0</v>
      </c>
      <c r="C367" s="4">
        <v>0</v>
      </c>
      <c r="D367" s="4">
        <v>1</v>
      </c>
      <c r="E367" s="4">
        <v>233</v>
      </c>
      <c r="F367" s="4">
        <f>ROUND(Source!BD342,O367)</f>
        <v>297.59</v>
      </c>
      <c r="G367" s="4" t="s">
        <v>141</v>
      </c>
      <c r="H367" s="4" t="s">
        <v>142</v>
      </c>
      <c r="I367" s="4"/>
      <c r="J367" s="4"/>
      <c r="K367" s="4">
        <v>233</v>
      </c>
      <c r="L367" s="4">
        <v>24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>
        <v>297.59</v>
      </c>
      <c r="X367" s="4">
        <v>1</v>
      </c>
      <c r="Y367" s="4">
        <v>2297.39</v>
      </c>
      <c r="Z367" s="4"/>
      <c r="AA367" s="4"/>
      <c r="AB367" s="4"/>
    </row>
    <row r="368" spans="1:28" ht="12.75">
      <c r="A368" s="4">
        <v>50</v>
      </c>
      <c r="B368" s="4">
        <v>0</v>
      </c>
      <c r="C368" s="4">
        <v>0</v>
      </c>
      <c r="D368" s="4">
        <v>1</v>
      </c>
      <c r="E368" s="4">
        <v>0</v>
      </c>
      <c r="F368" s="4">
        <f>ROUND(Source!X342,O368)</f>
        <v>2219.04</v>
      </c>
      <c r="G368" s="4" t="s">
        <v>143</v>
      </c>
      <c r="H368" s="4" t="s">
        <v>144</v>
      </c>
      <c r="I368" s="4"/>
      <c r="J368" s="4"/>
      <c r="K368" s="4">
        <v>210</v>
      </c>
      <c r="L368" s="4">
        <v>25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>
        <v>2219.04</v>
      </c>
      <c r="X368" s="4">
        <v>1</v>
      </c>
      <c r="Y368" s="4">
        <v>64196.93000000001</v>
      </c>
      <c r="Z368" s="4"/>
      <c r="AA368" s="4"/>
      <c r="AB368" s="4"/>
    </row>
    <row r="369" spans="1:28" ht="12.75">
      <c r="A369" s="4">
        <v>50</v>
      </c>
      <c r="B369" s="4">
        <v>0</v>
      </c>
      <c r="C369" s="4">
        <v>0</v>
      </c>
      <c r="D369" s="4">
        <v>1</v>
      </c>
      <c r="E369" s="4">
        <v>0</v>
      </c>
      <c r="F369" s="4">
        <f>ROUND(Source!Y342,O369)</f>
        <v>1177.39</v>
      </c>
      <c r="G369" s="4" t="s">
        <v>145</v>
      </c>
      <c r="H369" s="4" t="s">
        <v>146</v>
      </c>
      <c r="I369" s="4"/>
      <c r="J369" s="4"/>
      <c r="K369" s="4">
        <v>211</v>
      </c>
      <c r="L369" s="4">
        <v>26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>
        <v>1177.39</v>
      </c>
      <c r="X369" s="4">
        <v>1</v>
      </c>
      <c r="Y369" s="4">
        <v>34062.25</v>
      </c>
      <c r="Z369" s="4"/>
      <c r="AA369" s="4"/>
      <c r="AB369" s="4"/>
    </row>
    <row r="370" spans="1:28" ht="12.75">
      <c r="A370" s="4">
        <v>50</v>
      </c>
      <c r="B370" s="4">
        <v>0</v>
      </c>
      <c r="C370" s="4">
        <v>0</v>
      </c>
      <c r="D370" s="4">
        <v>1</v>
      </c>
      <c r="E370" s="4">
        <v>224</v>
      </c>
      <c r="F370" s="4">
        <f>ROUND(Source!AR342,O370)</f>
        <v>77009.36</v>
      </c>
      <c r="G370" s="4" t="s">
        <v>147</v>
      </c>
      <c r="H370" s="4" t="s">
        <v>148</v>
      </c>
      <c r="I370" s="4"/>
      <c r="J370" s="4"/>
      <c r="K370" s="4">
        <v>224</v>
      </c>
      <c r="L370" s="4">
        <v>27</v>
      </c>
      <c r="M370" s="4">
        <v>3</v>
      </c>
      <c r="N370" s="4" t="s">
        <v>3</v>
      </c>
      <c r="O370" s="4">
        <v>2</v>
      </c>
      <c r="P370" s="4"/>
      <c r="Q370" s="4"/>
      <c r="R370" s="4"/>
      <c r="S370" s="4"/>
      <c r="T370" s="4"/>
      <c r="U370" s="4"/>
      <c r="V370" s="4"/>
      <c r="W370" s="4">
        <v>77009.36</v>
      </c>
      <c r="X370" s="4">
        <v>1</v>
      </c>
      <c r="Y370" s="4">
        <v>583302.51</v>
      </c>
      <c r="Z370" s="4"/>
      <c r="AA370" s="4"/>
      <c r="AB370" s="4"/>
    </row>
    <row r="371" spans="1:28" ht="12.75">
      <c r="A371" s="4">
        <v>50</v>
      </c>
      <c r="B371" s="4">
        <v>1</v>
      </c>
      <c r="C371" s="4">
        <v>0</v>
      </c>
      <c r="D371" s="4">
        <v>2</v>
      </c>
      <c r="E371" s="4">
        <v>201</v>
      </c>
      <c r="F371" s="4">
        <f>ROUND(ROUND(F344,0),O371)</f>
        <v>73613</v>
      </c>
      <c r="G371" s="4" t="s">
        <v>149</v>
      </c>
      <c r="H371" s="4" t="s">
        <v>150</v>
      </c>
      <c r="I371" s="4"/>
      <c r="J371" s="4"/>
      <c r="K371" s="4">
        <v>212</v>
      </c>
      <c r="L371" s="4">
        <v>28</v>
      </c>
      <c r="M371" s="4">
        <v>0</v>
      </c>
      <c r="N371" s="4" t="s">
        <v>3</v>
      </c>
      <c r="O371" s="4">
        <v>0</v>
      </c>
      <c r="P371" s="4"/>
      <c r="Q371" s="4"/>
      <c r="R371" s="4"/>
      <c r="S371" s="4"/>
      <c r="T371" s="4"/>
      <c r="U371" s="4"/>
      <c r="V371" s="4"/>
      <c r="W371" s="4">
        <v>73613</v>
      </c>
      <c r="X371" s="4">
        <v>1</v>
      </c>
      <c r="Y371" s="4">
        <v>485043</v>
      </c>
      <c r="Z371" s="4"/>
      <c r="AA371" s="4"/>
      <c r="AB371" s="4"/>
    </row>
    <row r="372" spans="1:28" ht="12.75">
      <c r="A372" s="4">
        <v>50</v>
      </c>
      <c r="B372" s="4">
        <v>1</v>
      </c>
      <c r="C372" s="4">
        <v>0</v>
      </c>
      <c r="D372" s="4">
        <v>2</v>
      </c>
      <c r="E372" s="4">
        <v>210</v>
      </c>
      <c r="F372" s="4">
        <f>ROUND(ROUND(F368,0),O372)</f>
        <v>2219</v>
      </c>
      <c r="G372" s="4" t="s">
        <v>151</v>
      </c>
      <c r="H372" s="4" t="s">
        <v>144</v>
      </c>
      <c r="I372" s="4"/>
      <c r="J372" s="4"/>
      <c r="K372" s="4">
        <v>212</v>
      </c>
      <c r="L372" s="4">
        <v>29</v>
      </c>
      <c r="M372" s="4">
        <v>0</v>
      </c>
      <c r="N372" s="4" t="s">
        <v>3</v>
      </c>
      <c r="O372" s="4">
        <v>0</v>
      </c>
      <c r="P372" s="4"/>
      <c r="Q372" s="4"/>
      <c r="R372" s="4"/>
      <c r="S372" s="4"/>
      <c r="T372" s="4"/>
      <c r="U372" s="4"/>
      <c r="V372" s="4"/>
      <c r="W372" s="4">
        <v>2219</v>
      </c>
      <c r="X372" s="4">
        <v>1</v>
      </c>
      <c r="Y372" s="4">
        <v>64197</v>
      </c>
      <c r="Z372" s="4"/>
      <c r="AA372" s="4"/>
      <c r="AB372" s="4"/>
    </row>
    <row r="373" spans="1:28" ht="12.75">
      <c r="A373" s="4">
        <v>50</v>
      </c>
      <c r="B373" s="4">
        <v>1</v>
      </c>
      <c r="C373" s="4">
        <v>0</v>
      </c>
      <c r="D373" s="4">
        <v>2</v>
      </c>
      <c r="E373" s="4">
        <v>211</v>
      </c>
      <c r="F373" s="4">
        <f>ROUND(ROUND(F369,0),O373)</f>
        <v>1177</v>
      </c>
      <c r="G373" s="4" t="s">
        <v>152</v>
      </c>
      <c r="H373" s="4" t="s">
        <v>146</v>
      </c>
      <c r="I373" s="4"/>
      <c r="J373" s="4"/>
      <c r="K373" s="4">
        <v>212</v>
      </c>
      <c r="L373" s="4">
        <v>30</v>
      </c>
      <c r="M373" s="4">
        <v>0</v>
      </c>
      <c r="N373" s="4" t="s">
        <v>3</v>
      </c>
      <c r="O373" s="4">
        <v>0</v>
      </c>
      <c r="P373" s="4"/>
      <c r="Q373" s="4"/>
      <c r="R373" s="4"/>
      <c r="S373" s="4"/>
      <c r="T373" s="4"/>
      <c r="U373" s="4"/>
      <c r="V373" s="4"/>
      <c r="W373" s="4">
        <v>1177</v>
      </c>
      <c r="X373" s="4">
        <v>1</v>
      </c>
      <c r="Y373" s="4">
        <v>34062</v>
      </c>
      <c r="Z373" s="4"/>
      <c r="AA373" s="4"/>
      <c r="AB373" s="4"/>
    </row>
    <row r="374" spans="1:28" ht="12.75">
      <c r="A374" s="4">
        <v>50</v>
      </c>
      <c r="B374" s="4">
        <v>1</v>
      </c>
      <c r="C374" s="4">
        <v>0</v>
      </c>
      <c r="D374" s="4">
        <v>2</v>
      </c>
      <c r="E374" s="4">
        <v>213</v>
      </c>
      <c r="F374" s="4">
        <f>ROUND(F371+F372+F373,O374)</f>
        <v>77009</v>
      </c>
      <c r="G374" s="4" t="s">
        <v>153</v>
      </c>
      <c r="H374" s="4" t="s">
        <v>154</v>
      </c>
      <c r="I374" s="4"/>
      <c r="J374" s="4"/>
      <c r="K374" s="4">
        <v>212</v>
      </c>
      <c r="L374" s="4">
        <v>31</v>
      </c>
      <c r="M374" s="4">
        <v>0</v>
      </c>
      <c r="N374" s="4" t="s">
        <v>3</v>
      </c>
      <c r="O374" s="4">
        <v>2</v>
      </c>
      <c r="P374" s="4"/>
      <c r="Q374" s="4"/>
      <c r="R374" s="4"/>
      <c r="S374" s="4"/>
      <c r="T374" s="4"/>
      <c r="U374" s="4"/>
      <c r="V374" s="4"/>
      <c r="W374" s="4">
        <v>77009</v>
      </c>
      <c r="X374" s="4">
        <v>1</v>
      </c>
      <c r="Y374" s="4">
        <v>583302</v>
      </c>
      <c r="Z374" s="4"/>
      <c r="AA374" s="4"/>
      <c r="AB374" s="4"/>
    </row>
    <row r="375" spans="1:28" ht="12.75">
      <c r="A375" s="4">
        <v>50</v>
      </c>
      <c r="B375" s="4">
        <v>1</v>
      </c>
      <c r="C375" s="4">
        <v>0</v>
      </c>
      <c r="D375" s="4">
        <v>2</v>
      </c>
      <c r="E375" s="4">
        <v>0</v>
      </c>
      <c r="F375" s="4">
        <v>31007.14</v>
      </c>
      <c r="G375" s="4" t="s">
        <v>155</v>
      </c>
      <c r="H375" s="4" t="s">
        <v>156</v>
      </c>
      <c r="I375" s="4"/>
      <c r="J375" s="4"/>
      <c r="K375" s="4">
        <v>212</v>
      </c>
      <c r="L375" s="4">
        <v>32</v>
      </c>
      <c r="M375" s="4">
        <v>1</v>
      </c>
      <c r="N375" s="4" t="s">
        <v>3</v>
      </c>
      <c r="O375" s="4">
        <v>2</v>
      </c>
      <c r="P375" s="4"/>
      <c r="Q375" s="4"/>
      <c r="R375" s="4"/>
      <c r="S375" s="4"/>
      <c r="T375" s="4"/>
      <c r="U375" s="4"/>
      <c r="V375" s="4"/>
      <c r="W375" s="4">
        <v>31007.14</v>
      </c>
      <c r="X375" s="4">
        <v>1</v>
      </c>
      <c r="Y375" s="4">
        <v>31007.14</v>
      </c>
      <c r="Z375" s="4"/>
      <c r="AA375" s="4"/>
      <c r="AB375" s="4"/>
    </row>
    <row r="376" spans="1:28" ht="12.75">
      <c r="A376" s="4">
        <v>50</v>
      </c>
      <c r="B376" s="4">
        <v>1</v>
      </c>
      <c r="C376" s="4">
        <v>0</v>
      </c>
      <c r="D376" s="4">
        <v>2</v>
      </c>
      <c r="E376" s="4">
        <v>0</v>
      </c>
      <c r="F376" s="4">
        <v>45889.28</v>
      </c>
      <c r="G376" s="4" t="s">
        <v>157</v>
      </c>
      <c r="H376" s="4" t="s">
        <v>158</v>
      </c>
      <c r="I376" s="4"/>
      <c r="J376" s="4"/>
      <c r="K376" s="4">
        <v>212</v>
      </c>
      <c r="L376" s="4">
        <v>33</v>
      </c>
      <c r="M376" s="4">
        <v>1</v>
      </c>
      <c r="N376" s="4" t="s">
        <v>3</v>
      </c>
      <c r="O376" s="4">
        <v>2</v>
      </c>
      <c r="P376" s="4"/>
      <c r="Q376" s="4"/>
      <c r="R376" s="4"/>
      <c r="S376" s="4"/>
      <c r="T376" s="4"/>
      <c r="U376" s="4"/>
      <c r="V376" s="4"/>
      <c r="W376" s="4">
        <v>45889.28</v>
      </c>
      <c r="X376" s="4">
        <v>1</v>
      </c>
      <c r="Y376" s="4">
        <v>45889.28</v>
      </c>
      <c r="Z376" s="4"/>
      <c r="AA376" s="4"/>
      <c r="AB376" s="4"/>
    </row>
    <row r="377" spans="1:28" ht="12.75">
      <c r="A377" s="4">
        <v>50</v>
      </c>
      <c r="B377" s="4">
        <v>0</v>
      </c>
      <c r="C377" s="4">
        <v>0</v>
      </c>
      <c r="D377" s="4">
        <v>2</v>
      </c>
      <c r="E377" s="4">
        <v>0</v>
      </c>
      <c r="F377" s="4">
        <v>0</v>
      </c>
      <c r="G377" s="4" t="s">
        <v>159</v>
      </c>
      <c r="H377" s="4" t="s">
        <v>160</v>
      </c>
      <c r="I377" s="4"/>
      <c r="J377" s="4"/>
      <c r="K377" s="4">
        <v>212</v>
      </c>
      <c r="L377" s="4">
        <v>34</v>
      </c>
      <c r="M377" s="4">
        <v>1</v>
      </c>
      <c r="N377" s="4" t="s">
        <v>3</v>
      </c>
      <c r="O377" s="4">
        <v>2</v>
      </c>
      <c r="P377" s="4"/>
      <c r="Q377" s="4"/>
      <c r="R377" s="4"/>
      <c r="S377" s="4"/>
      <c r="T377" s="4"/>
      <c r="U377" s="4"/>
      <c r="V377" s="4"/>
      <c r="W377" s="4">
        <v>0</v>
      </c>
      <c r="X377" s="4">
        <v>1</v>
      </c>
      <c r="Y377" s="4">
        <v>0</v>
      </c>
      <c r="Z377" s="4"/>
      <c r="AA377" s="4"/>
      <c r="AB377" s="4"/>
    </row>
    <row r="378" spans="1:28" ht="12.75">
      <c r="A378" s="4">
        <v>50</v>
      </c>
      <c r="B378" s="4">
        <v>1</v>
      </c>
      <c r="C378" s="4">
        <v>0</v>
      </c>
      <c r="D378" s="4">
        <v>2</v>
      </c>
      <c r="E378" s="4">
        <v>0</v>
      </c>
      <c r="F378" s="4">
        <v>112.94</v>
      </c>
      <c r="G378" s="4" t="s">
        <v>161</v>
      </c>
      <c r="H378" s="4" t="s">
        <v>162</v>
      </c>
      <c r="I378" s="4"/>
      <c r="J378" s="4"/>
      <c r="K378" s="4">
        <v>212</v>
      </c>
      <c r="L378" s="4">
        <v>35</v>
      </c>
      <c r="M378" s="4">
        <v>1</v>
      </c>
      <c r="N378" s="4" t="s">
        <v>3</v>
      </c>
      <c r="O378" s="4">
        <v>2</v>
      </c>
      <c r="P378" s="4"/>
      <c r="Q378" s="4"/>
      <c r="R378" s="4"/>
      <c r="S378" s="4"/>
      <c r="T378" s="4"/>
      <c r="U378" s="4"/>
      <c r="V378" s="4"/>
      <c r="W378" s="4">
        <v>112.94</v>
      </c>
      <c r="X378" s="4">
        <v>1</v>
      </c>
      <c r="Y378" s="4">
        <v>112.94</v>
      </c>
      <c r="Z378" s="4"/>
      <c r="AA378" s="4"/>
      <c r="AB378" s="4"/>
    </row>
    <row r="379" spans="1:28" ht="12.75">
      <c r="A379" s="4">
        <v>50</v>
      </c>
      <c r="B379" s="4">
        <f>IF(Source!F379=0,1,0)</f>
        <v>1</v>
      </c>
      <c r="C379" s="4">
        <v>0</v>
      </c>
      <c r="D379" s="4">
        <v>2</v>
      </c>
      <c r="E379" s="4">
        <v>0</v>
      </c>
      <c r="F379" s="4">
        <f>ROUND(ROUND((F374-F375-F376-F377-F378),0),O379)</f>
        <v>0</v>
      </c>
      <c r="G379" s="4" t="s">
        <v>163</v>
      </c>
      <c r="H379" s="4" t="s">
        <v>164</v>
      </c>
      <c r="I379" s="4"/>
      <c r="J379" s="4"/>
      <c r="K379" s="4">
        <v>212</v>
      </c>
      <c r="L379" s="4">
        <v>36</v>
      </c>
      <c r="M379" s="4">
        <v>2</v>
      </c>
      <c r="N379" s="4" t="s">
        <v>3</v>
      </c>
      <c r="O379" s="4">
        <v>0</v>
      </c>
      <c r="P379" s="4"/>
      <c r="Q379" s="4"/>
      <c r="R379" s="4"/>
      <c r="S379" s="4"/>
      <c r="T379" s="4"/>
      <c r="U379" s="4"/>
      <c r="V379" s="4"/>
      <c r="W379" s="4">
        <v>0</v>
      </c>
      <c r="X379" s="4">
        <v>1</v>
      </c>
      <c r="Y379" s="4">
        <v>506293</v>
      </c>
      <c r="Z379" s="4"/>
      <c r="AA379" s="4"/>
      <c r="AB379" s="4"/>
    </row>
    <row r="381" spans="1:206" ht="12.75">
      <c r="A381" s="2">
        <v>51</v>
      </c>
      <c r="B381" s="2">
        <f>B12</f>
        <v>444</v>
      </c>
      <c r="C381" s="2">
        <f>A12</f>
        <v>1</v>
      </c>
      <c r="D381" s="2">
        <f>ROW(A12)</f>
        <v>12</v>
      </c>
      <c r="E381" s="2"/>
      <c r="F381" s="2" t="str">
        <f>IF(F12&lt;&gt;"",F12,"")</f>
        <v>Новый объект_(Копия)_(Копия)_(Копия)_(Копия)_(Копия)_(Копия)_(Копия)_(Копия)_(Копия)_(Копия)_(Копия)_(Копия)_(Копия)_(Копия)_(Копия)_(Копия)_(Копия)_(Копия)_(Копия)</v>
      </c>
      <c r="G381" s="2" t="str">
        <f>IF(G12&lt;&gt;"",G12,"")</f>
        <v>114-06-23 КЛ-1 кВ АВББШВ 4*50 ул.Рахманинова, д.2б_для розыгрыша</v>
      </c>
      <c r="H381" s="2">
        <v>0</v>
      </c>
      <c r="I381" s="2"/>
      <c r="J381" s="2"/>
      <c r="K381" s="2"/>
      <c r="L381" s="2"/>
      <c r="M381" s="2"/>
      <c r="N381" s="2"/>
      <c r="O381" s="2">
        <f aca="true" t="shared" si="230" ref="O381:T381">ROUND(O342,2)</f>
        <v>73612.93</v>
      </c>
      <c r="P381" s="2">
        <f t="shared" si="230"/>
        <v>46558.47</v>
      </c>
      <c r="Q381" s="2">
        <f t="shared" si="230"/>
        <v>25337.97</v>
      </c>
      <c r="R381" s="2">
        <f t="shared" si="230"/>
        <v>486.04</v>
      </c>
      <c r="S381" s="2">
        <f t="shared" si="230"/>
        <v>1716.49</v>
      </c>
      <c r="T381" s="2">
        <f t="shared" si="230"/>
        <v>0</v>
      </c>
      <c r="U381" s="2">
        <f>U342</f>
        <v>194.96256616</v>
      </c>
      <c r="V381" s="2">
        <f>V342</f>
        <v>38.75990456</v>
      </c>
      <c r="W381" s="2">
        <f>ROUND(W342,2)</f>
        <v>0</v>
      </c>
      <c r="X381" s="2">
        <f>ROUND(X342,2)</f>
        <v>2219.04</v>
      </c>
      <c r="Y381" s="2">
        <f>ROUND(Y342,2)</f>
        <v>1177.39</v>
      </c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>
        <f aca="true" t="shared" si="231" ref="AO381:BD381">ROUND(AO342,2)</f>
        <v>0</v>
      </c>
      <c r="AP381" s="2">
        <f t="shared" si="231"/>
        <v>0</v>
      </c>
      <c r="AQ381" s="2">
        <f t="shared" si="231"/>
        <v>0</v>
      </c>
      <c r="AR381" s="2">
        <f t="shared" si="231"/>
        <v>77009.36</v>
      </c>
      <c r="AS381" s="2">
        <f t="shared" si="231"/>
        <v>31007.14</v>
      </c>
      <c r="AT381" s="2">
        <f t="shared" si="231"/>
        <v>45889.28</v>
      </c>
      <c r="AU381" s="2">
        <f t="shared" si="231"/>
        <v>112.94</v>
      </c>
      <c r="AV381" s="2">
        <f t="shared" si="231"/>
        <v>46558.47</v>
      </c>
      <c r="AW381" s="2">
        <f t="shared" si="231"/>
        <v>46558.47</v>
      </c>
      <c r="AX381" s="2">
        <f t="shared" si="231"/>
        <v>0</v>
      </c>
      <c r="AY381" s="2">
        <f t="shared" si="231"/>
        <v>46558.47</v>
      </c>
      <c r="AZ381" s="2">
        <f t="shared" si="231"/>
        <v>0</v>
      </c>
      <c r="BA381" s="2">
        <f t="shared" si="231"/>
        <v>0</v>
      </c>
      <c r="BB381" s="2">
        <f t="shared" si="231"/>
        <v>0</v>
      </c>
      <c r="BC381" s="2">
        <f t="shared" si="231"/>
        <v>0</v>
      </c>
      <c r="BD381" s="2">
        <f t="shared" si="231"/>
        <v>297.59</v>
      </c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>
        <v>0</v>
      </c>
    </row>
    <row r="383" spans="1:28" ht="12.75">
      <c r="A383" s="4">
        <v>50</v>
      </c>
      <c r="B383" s="4">
        <v>0</v>
      </c>
      <c r="C383" s="4">
        <v>0</v>
      </c>
      <c r="D383" s="4">
        <v>1</v>
      </c>
      <c r="E383" s="4">
        <v>0</v>
      </c>
      <c r="F383" s="4">
        <f>ROUND(Source!O381,O383)</f>
        <v>73612.93</v>
      </c>
      <c r="G383" s="4" t="s">
        <v>95</v>
      </c>
      <c r="H383" s="4" t="s">
        <v>96</v>
      </c>
      <c r="I383" s="4"/>
      <c r="J383" s="4"/>
      <c r="K383" s="4">
        <v>201</v>
      </c>
      <c r="L383" s="4">
        <v>1</v>
      </c>
      <c r="M383" s="4">
        <v>3</v>
      </c>
      <c r="N383" s="4" t="s">
        <v>3</v>
      </c>
      <c r="O383" s="4">
        <v>2</v>
      </c>
      <c r="P383" s="4"/>
      <c r="Q383" s="4"/>
      <c r="R383" s="4"/>
      <c r="S383" s="4"/>
      <c r="T383" s="4"/>
      <c r="U383" s="4"/>
      <c r="V383" s="4"/>
      <c r="W383" s="4">
        <v>73612.93000000001</v>
      </c>
      <c r="X383" s="4">
        <v>1</v>
      </c>
      <c r="Y383" s="4">
        <v>485043.33</v>
      </c>
      <c r="Z383" s="4"/>
      <c r="AA383" s="4"/>
      <c r="AB383" s="4"/>
    </row>
    <row r="384" spans="1:28" ht="12.75">
      <c r="A384" s="4">
        <v>50</v>
      </c>
      <c r="B384" s="4">
        <v>0</v>
      </c>
      <c r="C384" s="4">
        <v>0</v>
      </c>
      <c r="D384" s="4">
        <v>1</v>
      </c>
      <c r="E384" s="4">
        <v>202</v>
      </c>
      <c r="F384" s="4">
        <f>ROUND(Source!P381,O384)</f>
        <v>46558.47</v>
      </c>
      <c r="G384" s="4" t="s">
        <v>97</v>
      </c>
      <c r="H384" s="4" t="s">
        <v>98</v>
      </c>
      <c r="I384" s="4"/>
      <c r="J384" s="4"/>
      <c r="K384" s="4">
        <v>202</v>
      </c>
      <c r="L384" s="4">
        <v>2</v>
      </c>
      <c r="M384" s="4">
        <v>3</v>
      </c>
      <c r="N384" s="4" t="s">
        <v>3</v>
      </c>
      <c r="O384" s="4">
        <v>2</v>
      </c>
      <c r="P384" s="4"/>
      <c r="Q384" s="4"/>
      <c r="R384" s="4"/>
      <c r="S384" s="4"/>
      <c r="T384" s="4"/>
      <c r="U384" s="4"/>
      <c r="V384" s="4"/>
      <c r="W384" s="4">
        <v>46558.47</v>
      </c>
      <c r="X384" s="4">
        <v>1</v>
      </c>
      <c r="Y384" s="4">
        <v>0</v>
      </c>
      <c r="Z384" s="4"/>
      <c r="AA384" s="4"/>
      <c r="AB384" s="4"/>
    </row>
    <row r="385" spans="1:28" ht="12.75">
      <c r="A385" s="4">
        <v>50</v>
      </c>
      <c r="B385" s="4">
        <v>0</v>
      </c>
      <c r="C385" s="4">
        <v>0</v>
      </c>
      <c r="D385" s="4">
        <v>1</v>
      </c>
      <c r="E385" s="4">
        <v>222</v>
      </c>
      <c r="F385" s="4">
        <f>ROUND(Source!AO381,O385)</f>
        <v>0</v>
      </c>
      <c r="G385" s="4" t="s">
        <v>99</v>
      </c>
      <c r="H385" s="4" t="s">
        <v>100</v>
      </c>
      <c r="I385" s="4"/>
      <c r="J385" s="4"/>
      <c r="K385" s="4">
        <v>222</v>
      </c>
      <c r="L385" s="4">
        <v>3</v>
      </c>
      <c r="M385" s="4">
        <v>3</v>
      </c>
      <c r="N385" s="4" t="s">
        <v>3</v>
      </c>
      <c r="O385" s="4">
        <v>2</v>
      </c>
      <c r="P385" s="4"/>
      <c r="Q385" s="4"/>
      <c r="R385" s="4"/>
      <c r="S385" s="4"/>
      <c r="T385" s="4"/>
      <c r="U385" s="4"/>
      <c r="V385" s="4"/>
      <c r="W385" s="4">
        <v>0</v>
      </c>
      <c r="X385" s="4">
        <v>1</v>
      </c>
      <c r="Y385" s="4">
        <v>0</v>
      </c>
      <c r="Z385" s="4"/>
      <c r="AA385" s="4"/>
      <c r="AB385" s="4"/>
    </row>
    <row r="386" spans="1:28" ht="12.75">
      <c r="A386" s="4">
        <v>50</v>
      </c>
      <c r="B386" s="4">
        <v>0</v>
      </c>
      <c r="C386" s="4">
        <v>0</v>
      </c>
      <c r="D386" s="4">
        <v>1</v>
      </c>
      <c r="E386" s="4">
        <v>225</v>
      </c>
      <c r="F386" s="4">
        <f>ROUND(Source!AV381,O386)</f>
        <v>46558.47</v>
      </c>
      <c r="G386" s="4" t="s">
        <v>101</v>
      </c>
      <c r="H386" s="4" t="s">
        <v>102</v>
      </c>
      <c r="I386" s="4"/>
      <c r="J386" s="4"/>
      <c r="K386" s="4">
        <v>225</v>
      </c>
      <c r="L386" s="4">
        <v>4</v>
      </c>
      <c r="M386" s="4">
        <v>3</v>
      </c>
      <c r="N386" s="4" t="s">
        <v>3</v>
      </c>
      <c r="O386" s="4">
        <v>2</v>
      </c>
      <c r="P386" s="4"/>
      <c r="Q386" s="4"/>
      <c r="R386" s="4"/>
      <c r="S386" s="4"/>
      <c r="T386" s="4"/>
      <c r="U386" s="4"/>
      <c r="V386" s="4"/>
      <c r="W386" s="4">
        <v>46558.47</v>
      </c>
      <c r="X386" s="4">
        <v>1</v>
      </c>
      <c r="Y386" s="4">
        <v>0</v>
      </c>
      <c r="Z386" s="4"/>
      <c r="AA386" s="4"/>
      <c r="AB386" s="4"/>
    </row>
    <row r="387" spans="1:28" ht="12.75">
      <c r="A387" s="4">
        <v>50</v>
      </c>
      <c r="B387" s="4">
        <v>0</v>
      </c>
      <c r="C387" s="4">
        <v>0</v>
      </c>
      <c r="D387" s="4">
        <v>1</v>
      </c>
      <c r="E387" s="4">
        <v>226</v>
      </c>
      <c r="F387" s="4">
        <f>ROUND(Source!AW381,O387)</f>
        <v>46558.47</v>
      </c>
      <c r="G387" s="4" t="s">
        <v>103</v>
      </c>
      <c r="H387" s="4" t="s">
        <v>104</v>
      </c>
      <c r="I387" s="4"/>
      <c r="J387" s="4"/>
      <c r="K387" s="4">
        <v>226</v>
      </c>
      <c r="L387" s="4">
        <v>5</v>
      </c>
      <c r="M387" s="4">
        <v>3</v>
      </c>
      <c r="N387" s="4" t="s">
        <v>3</v>
      </c>
      <c r="O387" s="4">
        <v>2</v>
      </c>
      <c r="P387" s="4"/>
      <c r="Q387" s="4"/>
      <c r="R387" s="4"/>
      <c r="S387" s="4"/>
      <c r="T387" s="4"/>
      <c r="U387" s="4"/>
      <c r="V387" s="4"/>
      <c r="W387" s="4">
        <v>46558.47</v>
      </c>
      <c r="X387" s="4">
        <v>1</v>
      </c>
      <c r="Y387" s="4">
        <v>239776.12</v>
      </c>
      <c r="Z387" s="4"/>
      <c r="AA387" s="4"/>
      <c r="AB387" s="4"/>
    </row>
    <row r="388" spans="1:28" ht="12.75">
      <c r="A388" s="4">
        <v>50</v>
      </c>
      <c r="B388" s="4">
        <v>0</v>
      </c>
      <c r="C388" s="4">
        <v>0</v>
      </c>
      <c r="D388" s="4">
        <v>1</v>
      </c>
      <c r="E388" s="4">
        <v>227</v>
      </c>
      <c r="F388" s="4">
        <f>ROUND(Source!AX381,O388)</f>
        <v>0</v>
      </c>
      <c r="G388" s="4" t="s">
        <v>105</v>
      </c>
      <c r="H388" s="4" t="s">
        <v>106</v>
      </c>
      <c r="I388" s="4"/>
      <c r="J388" s="4"/>
      <c r="K388" s="4">
        <v>227</v>
      </c>
      <c r="L388" s="4">
        <v>6</v>
      </c>
      <c r="M388" s="4">
        <v>3</v>
      </c>
      <c r="N388" s="4" t="s">
        <v>3</v>
      </c>
      <c r="O388" s="4">
        <v>2</v>
      </c>
      <c r="P388" s="4"/>
      <c r="Q388" s="4"/>
      <c r="R388" s="4"/>
      <c r="S388" s="4"/>
      <c r="T388" s="4"/>
      <c r="U388" s="4"/>
      <c r="V388" s="4"/>
      <c r="W388" s="4">
        <v>0</v>
      </c>
      <c r="X388" s="4">
        <v>1</v>
      </c>
      <c r="Y388" s="4">
        <v>0</v>
      </c>
      <c r="Z388" s="4"/>
      <c r="AA388" s="4"/>
      <c r="AB388" s="4"/>
    </row>
    <row r="389" spans="1:28" ht="12.75">
      <c r="A389" s="4">
        <v>50</v>
      </c>
      <c r="B389" s="4">
        <v>0</v>
      </c>
      <c r="C389" s="4">
        <v>0</v>
      </c>
      <c r="D389" s="4">
        <v>1</v>
      </c>
      <c r="E389" s="4">
        <v>228</v>
      </c>
      <c r="F389" s="4">
        <f>ROUND(Source!AY381,O389)</f>
        <v>46558.47</v>
      </c>
      <c r="G389" s="4" t="s">
        <v>107</v>
      </c>
      <c r="H389" s="4" t="s">
        <v>108</v>
      </c>
      <c r="I389" s="4"/>
      <c r="J389" s="4"/>
      <c r="K389" s="4">
        <v>228</v>
      </c>
      <c r="L389" s="4">
        <v>7</v>
      </c>
      <c r="M389" s="4">
        <v>3</v>
      </c>
      <c r="N389" s="4" t="s">
        <v>3</v>
      </c>
      <c r="O389" s="4">
        <v>2</v>
      </c>
      <c r="P389" s="4"/>
      <c r="Q389" s="4"/>
      <c r="R389" s="4"/>
      <c r="S389" s="4"/>
      <c r="T389" s="4"/>
      <c r="U389" s="4"/>
      <c r="V389" s="4"/>
      <c r="W389" s="4">
        <v>46558.47</v>
      </c>
      <c r="X389" s="4">
        <v>1</v>
      </c>
      <c r="Y389" s="4">
        <v>239776.12</v>
      </c>
      <c r="Z389" s="4"/>
      <c r="AA389" s="4"/>
      <c r="AB389" s="4"/>
    </row>
    <row r="390" spans="1:28" ht="12.75">
      <c r="A390" s="4">
        <v>50</v>
      </c>
      <c r="B390" s="4">
        <v>0</v>
      </c>
      <c r="C390" s="4">
        <v>0</v>
      </c>
      <c r="D390" s="4">
        <v>1</v>
      </c>
      <c r="E390" s="4">
        <v>216</v>
      </c>
      <c r="F390" s="4">
        <f>ROUND(Source!AP381,O390)</f>
        <v>0</v>
      </c>
      <c r="G390" s="4" t="s">
        <v>109</v>
      </c>
      <c r="H390" s="4" t="s">
        <v>110</v>
      </c>
      <c r="I390" s="4"/>
      <c r="J390" s="4"/>
      <c r="K390" s="4">
        <v>216</v>
      </c>
      <c r="L390" s="4">
        <v>8</v>
      </c>
      <c r="M390" s="4">
        <v>3</v>
      </c>
      <c r="N390" s="4" t="s">
        <v>3</v>
      </c>
      <c r="O390" s="4">
        <v>2</v>
      </c>
      <c r="P390" s="4"/>
      <c r="Q390" s="4"/>
      <c r="R390" s="4"/>
      <c r="S390" s="4"/>
      <c r="T390" s="4"/>
      <c r="U390" s="4"/>
      <c r="V390" s="4"/>
      <c r="W390" s="4">
        <v>0</v>
      </c>
      <c r="X390" s="4">
        <v>1</v>
      </c>
      <c r="Y390" s="4">
        <v>0</v>
      </c>
      <c r="Z390" s="4"/>
      <c r="AA390" s="4"/>
      <c r="AB390" s="4"/>
    </row>
    <row r="391" spans="1:28" ht="12.75">
      <c r="A391" s="4">
        <v>50</v>
      </c>
      <c r="B391" s="4">
        <v>0</v>
      </c>
      <c r="C391" s="4">
        <v>0</v>
      </c>
      <c r="D391" s="4">
        <v>1</v>
      </c>
      <c r="E391" s="4">
        <v>223</v>
      </c>
      <c r="F391" s="4">
        <f>ROUND(Source!AQ381,O391)</f>
        <v>0</v>
      </c>
      <c r="G391" s="4" t="s">
        <v>111</v>
      </c>
      <c r="H391" s="4" t="s">
        <v>112</v>
      </c>
      <c r="I391" s="4"/>
      <c r="J391" s="4"/>
      <c r="K391" s="4">
        <v>223</v>
      </c>
      <c r="L391" s="4">
        <v>9</v>
      </c>
      <c r="M391" s="4">
        <v>3</v>
      </c>
      <c r="N391" s="4" t="s">
        <v>3</v>
      </c>
      <c r="O391" s="4">
        <v>2</v>
      </c>
      <c r="P391" s="4"/>
      <c r="Q391" s="4"/>
      <c r="R391" s="4"/>
      <c r="S391" s="4"/>
      <c r="T391" s="4"/>
      <c r="U391" s="4"/>
      <c r="V391" s="4"/>
      <c r="W391" s="4">
        <v>0</v>
      </c>
      <c r="X391" s="4">
        <v>1</v>
      </c>
      <c r="Y391" s="4">
        <v>0</v>
      </c>
      <c r="Z391" s="4"/>
      <c r="AA391" s="4"/>
      <c r="AB391" s="4"/>
    </row>
    <row r="392" spans="1:28" ht="12.75">
      <c r="A392" s="4">
        <v>50</v>
      </c>
      <c r="B392" s="4">
        <v>0</v>
      </c>
      <c r="C392" s="4">
        <v>0</v>
      </c>
      <c r="D392" s="4">
        <v>1</v>
      </c>
      <c r="E392" s="4">
        <v>229</v>
      </c>
      <c r="F392" s="4">
        <f>ROUND(Source!AZ381,O392)</f>
        <v>0</v>
      </c>
      <c r="G392" s="4" t="s">
        <v>113</v>
      </c>
      <c r="H392" s="4" t="s">
        <v>114</v>
      </c>
      <c r="I392" s="4"/>
      <c r="J392" s="4"/>
      <c r="K392" s="4">
        <v>229</v>
      </c>
      <c r="L392" s="4">
        <v>10</v>
      </c>
      <c r="M392" s="4">
        <v>3</v>
      </c>
      <c r="N392" s="4" t="s">
        <v>3</v>
      </c>
      <c r="O392" s="4">
        <v>2</v>
      </c>
      <c r="P392" s="4"/>
      <c r="Q392" s="4"/>
      <c r="R392" s="4"/>
      <c r="S392" s="4"/>
      <c r="T392" s="4"/>
      <c r="U392" s="4"/>
      <c r="V392" s="4"/>
      <c r="W392" s="4">
        <v>0</v>
      </c>
      <c r="X392" s="4">
        <v>1</v>
      </c>
      <c r="Y392" s="4">
        <v>0</v>
      </c>
      <c r="Z392" s="4"/>
      <c r="AA392" s="4"/>
      <c r="AB392" s="4"/>
    </row>
    <row r="393" spans="1:28" ht="12.75">
      <c r="A393" s="4">
        <v>50</v>
      </c>
      <c r="B393" s="4">
        <v>0</v>
      </c>
      <c r="C393" s="4">
        <v>0</v>
      </c>
      <c r="D393" s="4">
        <v>1</v>
      </c>
      <c r="E393" s="4">
        <v>203</v>
      </c>
      <c r="F393" s="4">
        <f>ROUND(Source!Q381,O393)</f>
        <v>25337.97</v>
      </c>
      <c r="G393" s="4" t="s">
        <v>115</v>
      </c>
      <c r="H393" s="4" t="s">
        <v>116</v>
      </c>
      <c r="I393" s="4"/>
      <c r="J393" s="4"/>
      <c r="K393" s="4">
        <v>203</v>
      </c>
      <c r="L393" s="4">
        <v>11</v>
      </c>
      <c r="M393" s="4">
        <v>3</v>
      </c>
      <c r="N393" s="4" t="s">
        <v>3</v>
      </c>
      <c r="O393" s="4">
        <v>2</v>
      </c>
      <c r="P393" s="4"/>
      <c r="Q393" s="4"/>
      <c r="R393" s="4"/>
      <c r="S393" s="4"/>
      <c r="T393" s="4"/>
      <c r="U393" s="4"/>
      <c r="V393" s="4"/>
      <c r="W393" s="4">
        <v>25040.380000000005</v>
      </c>
      <c r="X393" s="4">
        <v>1</v>
      </c>
      <c r="Y393" s="4">
        <v>193311.73</v>
      </c>
      <c r="Z393" s="4"/>
      <c r="AA393" s="4"/>
      <c r="AB393" s="4"/>
    </row>
    <row r="394" spans="1:28" ht="12.75">
      <c r="A394" s="4">
        <v>50</v>
      </c>
      <c r="B394" s="4">
        <v>0</v>
      </c>
      <c r="C394" s="4">
        <v>0</v>
      </c>
      <c r="D394" s="4">
        <v>1</v>
      </c>
      <c r="E394" s="4">
        <v>231</v>
      </c>
      <c r="F394" s="4">
        <f>ROUND(Source!BB381,O394)</f>
        <v>0</v>
      </c>
      <c r="G394" s="4" t="s">
        <v>117</v>
      </c>
      <c r="H394" s="4" t="s">
        <v>118</v>
      </c>
      <c r="I394" s="4"/>
      <c r="J394" s="4"/>
      <c r="K394" s="4">
        <v>231</v>
      </c>
      <c r="L394" s="4">
        <v>12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>
        <v>0</v>
      </c>
      <c r="X394" s="4">
        <v>1</v>
      </c>
      <c r="Y394" s="4">
        <v>0</v>
      </c>
      <c r="Z394" s="4"/>
      <c r="AA394" s="4"/>
      <c r="AB394" s="4"/>
    </row>
    <row r="395" spans="1:28" ht="12.75">
      <c r="A395" s="4">
        <v>50</v>
      </c>
      <c r="B395" s="4">
        <v>0</v>
      </c>
      <c r="C395" s="4">
        <v>0</v>
      </c>
      <c r="D395" s="4">
        <v>1</v>
      </c>
      <c r="E395" s="4">
        <v>204</v>
      </c>
      <c r="F395" s="4">
        <f>ROUND(Source!R381,O395)</f>
        <v>486.04</v>
      </c>
      <c r="G395" s="4" t="s">
        <v>119</v>
      </c>
      <c r="H395" s="4" t="s">
        <v>120</v>
      </c>
      <c r="I395" s="4"/>
      <c r="J395" s="4"/>
      <c r="K395" s="4">
        <v>204</v>
      </c>
      <c r="L395" s="4">
        <v>13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>
        <v>486.04</v>
      </c>
      <c r="X395" s="4">
        <v>1</v>
      </c>
      <c r="Y395" s="4">
        <v>14061.160000000002</v>
      </c>
      <c r="Z395" s="4"/>
      <c r="AA395" s="4"/>
      <c r="AB395" s="4"/>
    </row>
    <row r="396" spans="1:28" ht="12.75">
      <c r="A396" s="4">
        <v>50</v>
      </c>
      <c r="B396" s="4">
        <v>0</v>
      </c>
      <c r="C396" s="4">
        <v>0</v>
      </c>
      <c r="D396" s="4">
        <v>1</v>
      </c>
      <c r="E396" s="4">
        <v>205</v>
      </c>
      <c r="F396" s="4">
        <f>ROUND(Source!S381,O396)</f>
        <v>1716.49</v>
      </c>
      <c r="G396" s="4" t="s">
        <v>121</v>
      </c>
      <c r="H396" s="4" t="s">
        <v>122</v>
      </c>
      <c r="I396" s="4"/>
      <c r="J396" s="4"/>
      <c r="K396" s="4">
        <v>205</v>
      </c>
      <c r="L396" s="4">
        <v>14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>
        <v>1716.4899999999998</v>
      </c>
      <c r="X396" s="4">
        <v>1</v>
      </c>
      <c r="Y396" s="4">
        <v>49658.09</v>
      </c>
      <c r="Z396" s="4"/>
      <c r="AA396" s="4"/>
      <c r="AB396" s="4"/>
    </row>
    <row r="397" spans="1:28" ht="12.75">
      <c r="A397" s="4">
        <v>50</v>
      </c>
      <c r="B397" s="4">
        <v>0</v>
      </c>
      <c r="C397" s="4">
        <v>0</v>
      </c>
      <c r="D397" s="4">
        <v>1</v>
      </c>
      <c r="E397" s="4">
        <v>232</v>
      </c>
      <c r="F397" s="4">
        <f>ROUND(Source!BC381,O397)</f>
        <v>0</v>
      </c>
      <c r="G397" s="4" t="s">
        <v>123</v>
      </c>
      <c r="H397" s="4" t="s">
        <v>124</v>
      </c>
      <c r="I397" s="4"/>
      <c r="J397" s="4"/>
      <c r="K397" s="4">
        <v>232</v>
      </c>
      <c r="L397" s="4">
        <v>15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>
        <v>0</v>
      </c>
      <c r="X397" s="4">
        <v>1</v>
      </c>
      <c r="Y397" s="4">
        <v>0</v>
      </c>
      <c r="Z397" s="4"/>
      <c r="AA397" s="4"/>
      <c r="AB397" s="4"/>
    </row>
    <row r="398" spans="1:28" ht="12.75">
      <c r="A398" s="4">
        <v>50</v>
      </c>
      <c r="B398" s="4">
        <v>0</v>
      </c>
      <c r="C398" s="4">
        <v>0</v>
      </c>
      <c r="D398" s="4">
        <v>1</v>
      </c>
      <c r="E398" s="4">
        <v>214</v>
      </c>
      <c r="F398" s="4">
        <f>ROUND(Source!AS381,O398)</f>
        <v>31007.14</v>
      </c>
      <c r="G398" s="4" t="s">
        <v>125</v>
      </c>
      <c r="H398" s="4" t="s">
        <v>126</v>
      </c>
      <c r="I398" s="4"/>
      <c r="J398" s="4"/>
      <c r="K398" s="4">
        <v>214</v>
      </c>
      <c r="L398" s="4">
        <v>16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>
        <v>31007.14</v>
      </c>
      <c r="X398" s="4">
        <v>1</v>
      </c>
      <c r="Y398" s="4">
        <v>292633.03</v>
      </c>
      <c r="Z398" s="4"/>
      <c r="AA398" s="4"/>
      <c r="AB398" s="4"/>
    </row>
    <row r="399" spans="1:28" ht="12.75">
      <c r="A399" s="4">
        <v>50</v>
      </c>
      <c r="B399" s="4">
        <v>0</v>
      </c>
      <c r="C399" s="4">
        <v>0</v>
      </c>
      <c r="D399" s="4">
        <v>1</v>
      </c>
      <c r="E399" s="4">
        <v>215</v>
      </c>
      <c r="F399" s="4">
        <f>ROUND(Source!AT381,O399)</f>
        <v>45889.28</v>
      </c>
      <c r="G399" s="4" t="s">
        <v>127</v>
      </c>
      <c r="H399" s="4" t="s">
        <v>128</v>
      </c>
      <c r="I399" s="4"/>
      <c r="J399" s="4"/>
      <c r="K399" s="4">
        <v>215</v>
      </c>
      <c r="L399" s="4">
        <v>17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>
        <v>45889.28</v>
      </c>
      <c r="X399" s="4">
        <v>1</v>
      </c>
      <c r="Y399" s="4">
        <v>287402.19</v>
      </c>
      <c r="Z399" s="4"/>
      <c r="AA399" s="4"/>
      <c r="AB399" s="4"/>
    </row>
    <row r="400" spans="1:28" ht="12.75">
      <c r="A400" s="4">
        <v>50</v>
      </c>
      <c r="B400" s="4">
        <v>0</v>
      </c>
      <c r="C400" s="4">
        <v>0</v>
      </c>
      <c r="D400" s="4">
        <v>1</v>
      </c>
      <c r="E400" s="4">
        <v>217</v>
      </c>
      <c r="F400" s="4">
        <f>ROUND(Source!AU381,O400)</f>
        <v>112.94</v>
      </c>
      <c r="G400" s="4" t="s">
        <v>129</v>
      </c>
      <c r="H400" s="4" t="s">
        <v>130</v>
      </c>
      <c r="I400" s="4"/>
      <c r="J400" s="4"/>
      <c r="K400" s="4">
        <v>217</v>
      </c>
      <c r="L400" s="4">
        <v>18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>
        <v>112.94000000000001</v>
      </c>
      <c r="X400" s="4">
        <v>1</v>
      </c>
      <c r="Y400" s="4">
        <v>3267.2999999999997</v>
      </c>
      <c r="Z400" s="4"/>
      <c r="AA400" s="4"/>
      <c r="AB400" s="4"/>
    </row>
    <row r="401" spans="1:28" ht="12.75">
      <c r="A401" s="4">
        <v>50</v>
      </c>
      <c r="B401" s="4">
        <v>0</v>
      </c>
      <c r="C401" s="4">
        <v>0</v>
      </c>
      <c r="D401" s="4">
        <v>1</v>
      </c>
      <c r="E401" s="4">
        <v>230</v>
      </c>
      <c r="F401" s="4">
        <f>ROUND(Source!BA381,O401)</f>
        <v>0</v>
      </c>
      <c r="G401" s="4" t="s">
        <v>131</v>
      </c>
      <c r="H401" s="4" t="s">
        <v>132</v>
      </c>
      <c r="I401" s="4"/>
      <c r="J401" s="4"/>
      <c r="K401" s="4">
        <v>230</v>
      </c>
      <c r="L401" s="4">
        <v>19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>
        <v>0</v>
      </c>
      <c r="X401" s="4">
        <v>1</v>
      </c>
      <c r="Y401" s="4">
        <v>0</v>
      </c>
      <c r="Z401" s="4"/>
      <c r="AA401" s="4"/>
      <c r="AB401" s="4"/>
    </row>
    <row r="402" spans="1:28" ht="12.75">
      <c r="A402" s="4">
        <v>50</v>
      </c>
      <c r="B402" s="4">
        <v>0</v>
      </c>
      <c r="C402" s="4">
        <v>0</v>
      </c>
      <c r="D402" s="4">
        <v>1</v>
      </c>
      <c r="E402" s="4">
        <v>206</v>
      </c>
      <c r="F402" s="4">
        <f>ROUND(Source!T381,O402)</f>
        <v>0</v>
      </c>
      <c r="G402" s="4" t="s">
        <v>133</v>
      </c>
      <c r="H402" s="4" t="s">
        <v>134</v>
      </c>
      <c r="I402" s="4"/>
      <c r="J402" s="4"/>
      <c r="K402" s="4">
        <v>206</v>
      </c>
      <c r="L402" s="4">
        <v>20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>
        <v>0</v>
      </c>
      <c r="X402" s="4">
        <v>1</v>
      </c>
      <c r="Y402" s="4">
        <v>0</v>
      </c>
      <c r="Z402" s="4"/>
      <c r="AA402" s="4"/>
      <c r="AB402" s="4"/>
    </row>
    <row r="403" spans="1:28" ht="12.75">
      <c r="A403" s="4">
        <v>50</v>
      </c>
      <c r="B403" s="4">
        <v>0</v>
      </c>
      <c r="C403" s="4">
        <v>0</v>
      </c>
      <c r="D403" s="4">
        <v>1</v>
      </c>
      <c r="E403" s="4">
        <v>207</v>
      </c>
      <c r="F403" s="4">
        <f>Source!U381</f>
        <v>194.96256616</v>
      </c>
      <c r="G403" s="4" t="s">
        <v>135</v>
      </c>
      <c r="H403" s="4" t="s">
        <v>136</v>
      </c>
      <c r="I403" s="4"/>
      <c r="J403" s="4"/>
      <c r="K403" s="4">
        <v>207</v>
      </c>
      <c r="L403" s="4">
        <v>21</v>
      </c>
      <c r="M403" s="4">
        <v>3</v>
      </c>
      <c r="N403" s="4" t="s">
        <v>3</v>
      </c>
      <c r="O403" s="4">
        <v>-1</v>
      </c>
      <c r="P403" s="4"/>
      <c r="Q403" s="4"/>
      <c r="R403" s="4"/>
      <c r="S403" s="4"/>
      <c r="T403" s="4"/>
      <c r="U403" s="4"/>
      <c r="V403" s="4"/>
      <c r="W403" s="4">
        <v>194.9625662</v>
      </c>
      <c r="X403" s="4">
        <v>1</v>
      </c>
      <c r="Y403" s="4">
        <v>194.9625662</v>
      </c>
      <c r="Z403" s="4"/>
      <c r="AA403" s="4"/>
      <c r="AB403" s="4"/>
    </row>
    <row r="404" spans="1:28" ht="12.75">
      <c r="A404" s="4">
        <v>50</v>
      </c>
      <c r="B404" s="4">
        <v>0</v>
      </c>
      <c r="C404" s="4">
        <v>0</v>
      </c>
      <c r="D404" s="4">
        <v>1</v>
      </c>
      <c r="E404" s="4">
        <v>208</v>
      </c>
      <c r="F404" s="4">
        <f>Source!V381</f>
        <v>38.75990456</v>
      </c>
      <c r="G404" s="4" t="s">
        <v>137</v>
      </c>
      <c r="H404" s="4" t="s">
        <v>138</v>
      </c>
      <c r="I404" s="4"/>
      <c r="J404" s="4"/>
      <c r="K404" s="4">
        <v>208</v>
      </c>
      <c r="L404" s="4">
        <v>22</v>
      </c>
      <c r="M404" s="4">
        <v>3</v>
      </c>
      <c r="N404" s="4" t="s">
        <v>3</v>
      </c>
      <c r="O404" s="4">
        <v>-1</v>
      </c>
      <c r="P404" s="4"/>
      <c r="Q404" s="4"/>
      <c r="R404" s="4"/>
      <c r="S404" s="4"/>
      <c r="T404" s="4"/>
      <c r="U404" s="4"/>
      <c r="V404" s="4"/>
      <c r="W404" s="4">
        <v>38.7599046</v>
      </c>
      <c r="X404" s="4">
        <v>1</v>
      </c>
      <c r="Y404" s="4">
        <v>38.7599046</v>
      </c>
      <c r="Z404" s="4"/>
      <c r="AA404" s="4"/>
      <c r="AB404" s="4"/>
    </row>
    <row r="405" spans="1:28" ht="12.75">
      <c r="A405" s="4">
        <v>50</v>
      </c>
      <c r="B405" s="4">
        <v>0</v>
      </c>
      <c r="C405" s="4">
        <v>0</v>
      </c>
      <c r="D405" s="4">
        <v>1</v>
      </c>
      <c r="E405" s="4">
        <v>209</v>
      </c>
      <c r="F405" s="4">
        <f>ROUND(Source!W381,O405)</f>
        <v>0</v>
      </c>
      <c r="G405" s="4" t="s">
        <v>139</v>
      </c>
      <c r="H405" s="4" t="s">
        <v>140</v>
      </c>
      <c r="I405" s="4"/>
      <c r="J405" s="4"/>
      <c r="K405" s="4">
        <v>209</v>
      </c>
      <c r="L405" s="4">
        <v>23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>
        <v>0</v>
      </c>
      <c r="X405" s="4">
        <v>1</v>
      </c>
      <c r="Y405" s="4">
        <v>0</v>
      </c>
      <c r="Z405" s="4"/>
      <c r="AA405" s="4"/>
      <c r="AB405" s="4"/>
    </row>
    <row r="406" spans="1:28" ht="12.75">
      <c r="A406" s="4">
        <v>50</v>
      </c>
      <c r="B406" s="4">
        <v>0</v>
      </c>
      <c r="C406" s="4">
        <v>0</v>
      </c>
      <c r="D406" s="4">
        <v>1</v>
      </c>
      <c r="E406" s="4">
        <v>233</v>
      </c>
      <c r="F406" s="4">
        <f>ROUND(Source!BD381,O406)</f>
        <v>297.59</v>
      </c>
      <c r="G406" s="4" t="s">
        <v>141</v>
      </c>
      <c r="H406" s="4" t="s">
        <v>142</v>
      </c>
      <c r="I406" s="4"/>
      <c r="J406" s="4"/>
      <c r="K406" s="4">
        <v>233</v>
      </c>
      <c r="L406" s="4">
        <v>24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>
        <v>297.59</v>
      </c>
      <c r="X406" s="4">
        <v>1</v>
      </c>
      <c r="Y406" s="4">
        <v>2297.39</v>
      </c>
      <c r="Z406" s="4"/>
      <c r="AA406" s="4"/>
      <c r="AB406" s="4"/>
    </row>
    <row r="407" spans="1:28" ht="12.75">
      <c r="A407" s="4">
        <v>50</v>
      </c>
      <c r="B407" s="4">
        <v>0</v>
      </c>
      <c r="C407" s="4">
        <v>0</v>
      </c>
      <c r="D407" s="4">
        <v>1</v>
      </c>
      <c r="E407" s="4">
        <v>0</v>
      </c>
      <c r="F407" s="4">
        <f>ROUND(Source!X381,O407)</f>
        <v>2219.04</v>
      </c>
      <c r="G407" s="4" t="s">
        <v>143</v>
      </c>
      <c r="H407" s="4" t="s">
        <v>144</v>
      </c>
      <c r="I407" s="4"/>
      <c r="J407" s="4"/>
      <c r="K407" s="4">
        <v>210</v>
      </c>
      <c r="L407" s="4">
        <v>25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>
        <v>2219.04</v>
      </c>
      <c r="X407" s="4">
        <v>1</v>
      </c>
      <c r="Y407" s="4">
        <v>64196.93</v>
      </c>
      <c r="Z407" s="4"/>
      <c r="AA407" s="4"/>
      <c r="AB407" s="4"/>
    </row>
    <row r="408" spans="1:28" ht="12.75">
      <c r="A408" s="4">
        <v>50</v>
      </c>
      <c r="B408" s="4">
        <v>0</v>
      </c>
      <c r="C408" s="4">
        <v>0</v>
      </c>
      <c r="D408" s="4">
        <v>1</v>
      </c>
      <c r="E408" s="4">
        <v>0</v>
      </c>
      <c r="F408" s="4">
        <f>ROUND(Source!Y381,O408)</f>
        <v>1177.39</v>
      </c>
      <c r="G408" s="4" t="s">
        <v>145</v>
      </c>
      <c r="H408" s="4" t="s">
        <v>146</v>
      </c>
      <c r="I408" s="4"/>
      <c r="J408" s="4"/>
      <c r="K408" s="4">
        <v>211</v>
      </c>
      <c r="L408" s="4">
        <v>26</v>
      </c>
      <c r="M408" s="4">
        <v>3</v>
      </c>
      <c r="N408" s="4" t="s">
        <v>3</v>
      </c>
      <c r="O408" s="4">
        <v>2</v>
      </c>
      <c r="P408" s="4"/>
      <c r="Q408" s="4"/>
      <c r="R408" s="4"/>
      <c r="S408" s="4"/>
      <c r="T408" s="4"/>
      <c r="U408" s="4"/>
      <c r="V408" s="4"/>
      <c r="W408" s="4">
        <v>1177.39</v>
      </c>
      <c r="X408" s="4">
        <v>1</v>
      </c>
      <c r="Y408" s="4">
        <v>34062.25</v>
      </c>
      <c r="Z408" s="4"/>
      <c r="AA408" s="4"/>
      <c r="AB408" s="4"/>
    </row>
    <row r="409" spans="1:28" ht="12.75">
      <c r="A409" s="4">
        <v>50</v>
      </c>
      <c r="B409" s="4">
        <v>0</v>
      </c>
      <c r="C409" s="4">
        <v>0</v>
      </c>
      <c r="D409" s="4">
        <v>1</v>
      </c>
      <c r="E409" s="4">
        <v>224</v>
      </c>
      <c r="F409" s="4">
        <f>ROUND(Source!AR381,O409)</f>
        <v>77009.36</v>
      </c>
      <c r="G409" s="4" t="s">
        <v>147</v>
      </c>
      <c r="H409" s="4" t="s">
        <v>148</v>
      </c>
      <c r="I409" s="4"/>
      <c r="J409" s="4"/>
      <c r="K409" s="4">
        <v>224</v>
      </c>
      <c r="L409" s="4">
        <v>27</v>
      </c>
      <c r="M409" s="4">
        <v>3</v>
      </c>
      <c r="N409" s="4" t="s">
        <v>3</v>
      </c>
      <c r="O409" s="4">
        <v>2</v>
      </c>
      <c r="P409" s="4"/>
      <c r="Q409" s="4"/>
      <c r="R409" s="4"/>
      <c r="S409" s="4"/>
      <c r="T409" s="4"/>
      <c r="U409" s="4"/>
      <c r="V409" s="4"/>
      <c r="W409" s="4">
        <v>77009.36</v>
      </c>
      <c r="X409" s="4">
        <v>1</v>
      </c>
      <c r="Y409" s="4">
        <v>583302.51</v>
      </c>
      <c r="Z409" s="4"/>
      <c r="AA409" s="4"/>
      <c r="AB409" s="4"/>
    </row>
    <row r="410" spans="1:28" ht="12.75">
      <c r="A410" s="4">
        <v>50</v>
      </c>
      <c r="B410" s="4">
        <v>1</v>
      </c>
      <c r="C410" s="4">
        <v>0</v>
      </c>
      <c r="D410" s="4">
        <v>2</v>
      </c>
      <c r="E410" s="4">
        <v>201</v>
      </c>
      <c r="F410" s="4">
        <f>ROUND(ROUND(F383,0),O410)</f>
        <v>73613</v>
      </c>
      <c r="G410" s="4" t="s">
        <v>149</v>
      </c>
      <c r="H410" s="4" t="s">
        <v>150</v>
      </c>
      <c r="I410" s="4"/>
      <c r="J410" s="4"/>
      <c r="K410" s="4">
        <v>212</v>
      </c>
      <c r="L410" s="4">
        <v>28</v>
      </c>
      <c r="M410" s="4">
        <v>0</v>
      </c>
      <c r="N410" s="4" t="s">
        <v>3</v>
      </c>
      <c r="O410" s="4">
        <v>0</v>
      </c>
      <c r="P410" s="4"/>
      <c r="Q410" s="4"/>
      <c r="R410" s="4"/>
      <c r="S410" s="4"/>
      <c r="T410" s="4"/>
      <c r="U410" s="4"/>
      <c r="V410" s="4"/>
      <c r="W410" s="4">
        <v>73613</v>
      </c>
      <c r="X410" s="4">
        <v>1</v>
      </c>
      <c r="Y410" s="4">
        <v>485043</v>
      </c>
      <c r="Z410" s="4"/>
      <c r="AA410" s="4"/>
      <c r="AB410" s="4"/>
    </row>
    <row r="411" spans="1:28" ht="12.75">
      <c r="A411" s="4">
        <v>50</v>
      </c>
      <c r="B411" s="4">
        <v>1</v>
      </c>
      <c r="C411" s="4">
        <v>0</v>
      </c>
      <c r="D411" s="4">
        <v>2</v>
      </c>
      <c r="E411" s="4">
        <v>210</v>
      </c>
      <c r="F411" s="4">
        <f>ROUND(ROUND(F407,0),O411)</f>
        <v>2219</v>
      </c>
      <c r="G411" s="4" t="s">
        <v>151</v>
      </c>
      <c r="H411" s="4" t="s">
        <v>144</v>
      </c>
      <c r="I411" s="4"/>
      <c r="J411" s="4"/>
      <c r="K411" s="4">
        <v>212</v>
      </c>
      <c r="L411" s="4">
        <v>29</v>
      </c>
      <c r="M411" s="4">
        <v>0</v>
      </c>
      <c r="N411" s="4" t="s">
        <v>3</v>
      </c>
      <c r="O411" s="4">
        <v>0</v>
      </c>
      <c r="P411" s="4"/>
      <c r="Q411" s="4"/>
      <c r="R411" s="4"/>
      <c r="S411" s="4"/>
      <c r="T411" s="4"/>
      <c r="U411" s="4"/>
      <c r="V411" s="4"/>
      <c r="W411" s="4">
        <v>2219</v>
      </c>
      <c r="X411" s="4">
        <v>1</v>
      </c>
      <c r="Y411" s="4">
        <v>64197</v>
      </c>
      <c r="Z411" s="4"/>
      <c r="AA411" s="4"/>
      <c r="AB411" s="4"/>
    </row>
    <row r="412" spans="1:28" ht="12.75">
      <c r="A412" s="4">
        <v>50</v>
      </c>
      <c r="B412" s="4">
        <v>1</v>
      </c>
      <c r="C412" s="4">
        <v>0</v>
      </c>
      <c r="D412" s="4">
        <v>2</v>
      </c>
      <c r="E412" s="4">
        <v>211</v>
      </c>
      <c r="F412" s="4">
        <f>ROUND(ROUND(F408,0),O412)</f>
        <v>1177</v>
      </c>
      <c r="G412" s="4" t="s">
        <v>152</v>
      </c>
      <c r="H412" s="4" t="s">
        <v>146</v>
      </c>
      <c r="I412" s="4"/>
      <c r="J412" s="4"/>
      <c r="K412" s="4">
        <v>212</v>
      </c>
      <c r="L412" s="4">
        <v>30</v>
      </c>
      <c r="M412" s="4">
        <v>0</v>
      </c>
      <c r="N412" s="4" t="s">
        <v>3</v>
      </c>
      <c r="O412" s="4">
        <v>0</v>
      </c>
      <c r="P412" s="4"/>
      <c r="Q412" s="4"/>
      <c r="R412" s="4"/>
      <c r="S412" s="4"/>
      <c r="T412" s="4"/>
      <c r="U412" s="4"/>
      <c r="V412" s="4"/>
      <c r="W412" s="4">
        <v>1177</v>
      </c>
      <c r="X412" s="4">
        <v>1</v>
      </c>
      <c r="Y412" s="4">
        <v>34062</v>
      </c>
      <c r="Z412" s="4"/>
      <c r="AA412" s="4"/>
      <c r="AB412" s="4"/>
    </row>
    <row r="413" spans="1:28" ht="12.75">
      <c r="A413" s="4">
        <v>50</v>
      </c>
      <c r="B413" s="4">
        <v>1</v>
      </c>
      <c r="C413" s="4">
        <v>0</v>
      </c>
      <c r="D413" s="4">
        <v>2</v>
      </c>
      <c r="E413" s="4">
        <v>213</v>
      </c>
      <c r="F413" s="4">
        <f>ROUND(F410+F411+F412,O413)</f>
        <v>77009</v>
      </c>
      <c r="G413" s="4" t="s">
        <v>153</v>
      </c>
      <c r="H413" s="4" t="s">
        <v>154</v>
      </c>
      <c r="I413" s="4"/>
      <c r="J413" s="4"/>
      <c r="K413" s="4">
        <v>212</v>
      </c>
      <c r="L413" s="4">
        <v>31</v>
      </c>
      <c r="M413" s="4">
        <v>0</v>
      </c>
      <c r="N413" s="4" t="s">
        <v>3</v>
      </c>
      <c r="O413" s="4">
        <v>2</v>
      </c>
      <c r="P413" s="4"/>
      <c r="Q413" s="4"/>
      <c r="R413" s="4"/>
      <c r="S413" s="4"/>
      <c r="T413" s="4"/>
      <c r="U413" s="4"/>
      <c r="V413" s="4"/>
      <c r="W413" s="4">
        <v>77009</v>
      </c>
      <c r="X413" s="4">
        <v>1</v>
      </c>
      <c r="Y413" s="4">
        <v>583302</v>
      </c>
      <c r="Z413" s="4"/>
      <c r="AA413" s="4"/>
      <c r="AB413" s="4"/>
    </row>
    <row r="414" spans="1:28" ht="12.75">
      <c r="A414" s="4">
        <v>50</v>
      </c>
      <c r="B414" s="4">
        <v>1</v>
      </c>
      <c r="C414" s="4">
        <v>0</v>
      </c>
      <c r="D414" s="4">
        <v>2</v>
      </c>
      <c r="E414" s="4">
        <v>0</v>
      </c>
      <c r="F414" s="4">
        <v>31007.14</v>
      </c>
      <c r="G414" s="4" t="s">
        <v>155</v>
      </c>
      <c r="H414" s="4" t="s">
        <v>156</v>
      </c>
      <c r="I414" s="4"/>
      <c r="J414" s="4"/>
      <c r="K414" s="4">
        <v>212</v>
      </c>
      <c r="L414" s="4">
        <v>32</v>
      </c>
      <c r="M414" s="4">
        <v>1</v>
      </c>
      <c r="N414" s="4" t="s">
        <v>3</v>
      </c>
      <c r="O414" s="4">
        <v>2</v>
      </c>
      <c r="P414" s="4"/>
      <c r="Q414" s="4"/>
      <c r="R414" s="4"/>
      <c r="S414" s="4"/>
      <c r="T414" s="4"/>
      <c r="U414" s="4"/>
      <c r="V414" s="4"/>
      <c r="W414" s="4">
        <v>31007.14</v>
      </c>
      <c r="X414" s="4">
        <v>1</v>
      </c>
      <c r="Y414" s="4">
        <v>31007.14</v>
      </c>
      <c r="Z414" s="4"/>
      <c r="AA414" s="4"/>
      <c r="AB414" s="4"/>
    </row>
    <row r="415" spans="1:28" ht="12.75">
      <c r="A415" s="4">
        <v>50</v>
      </c>
      <c r="B415" s="4">
        <v>1</v>
      </c>
      <c r="C415" s="4">
        <v>0</v>
      </c>
      <c r="D415" s="4">
        <v>2</v>
      </c>
      <c r="E415" s="4">
        <v>0</v>
      </c>
      <c r="F415" s="4">
        <v>45889.28</v>
      </c>
      <c r="G415" s="4" t="s">
        <v>157</v>
      </c>
      <c r="H415" s="4" t="s">
        <v>158</v>
      </c>
      <c r="I415" s="4"/>
      <c r="J415" s="4"/>
      <c r="K415" s="4">
        <v>212</v>
      </c>
      <c r="L415" s="4">
        <v>33</v>
      </c>
      <c r="M415" s="4">
        <v>1</v>
      </c>
      <c r="N415" s="4" t="s">
        <v>3</v>
      </c>
      <c r="O415" s="4">
        <v>2</v>
      </c>
      <c r="P415" s="4"/>
      <c r="Q415" s="4"/>
      <c r="R415" s="4"/>
      <c r="S415" s="4"/>
      <c r="T415" s="4"/>
      <c r="U415" s="4"/>
      <c r="V415" s="4"/>
      <c r="W415" s="4">
        <v>45889.28</v>
      </c>
      <c r="X415" s="4">
        <v>1</v>
      </c>
      <c r="Y415" s="4">
        <v>45889.28</v>
      </c>
      <c r="Z415" s="4"/>
      <c r="AA415" s="4"/>
      <c r="AB415" s="4"/>
    </row>
    <row r="416" spans="1:28" ht="12.75">
      <c r="A416" s="4">
        <v>50</v>
      </c>
      <c r="B416" s="4">
        <v>0</v>
      </c>
      <c r="C416" s="4">
        <v>0</v>
      </c>
      <c r="D416" s="4">
        <v>2</v>
      </c>
      <c r="E416" s="4">
        <v>0</v>
      </c>
      <c r="F416" s="4">
        <v>0</v>
      </c>
      <c r="G416" s="4" t="s">
        <v>159</v>
      </c>
      <c r="H416" s="4" t="s">
        <v>160</v>
      </c>
      <c r="I416" s="4"/>
      <c r="J416" s="4"/>
      <c r="K416" s="4">
        <v>212</v>
      </c>
      <c r="L416" s="4">
        <v>34</v>
      </c>
      <c r="M416" s="4">
        <v>1</v>
      </c>
      <c r="N416" s="4" t="s">
        <v>3</v>
      </c>
      <c r="O416" s="4">
        <v>2</v>
      </c>
      <c r="P416" s="4"/>
      <c r="Q416" s="4"/>
      <c r="R416" s="4"/>
      <c r="S416" s="4"/>
      <c r="T416" s="4"/>
      <c r="U416" s="4"/>
      <c r="V416" s="4"/>
      <c r="W416" s="4">
        <v>0</v>
      </c>
      <c r="X416" s="4">
        <v>1</v>
      </c>
      <c r="Y416" s="4">
        <v>0</v>
      </c>
      <c r="Z416" s="4"/>
      <c r="AA416" s="4"/>
      <c r="AB416" s="4"/>
    </row>
    <row r="417" spans="1:28" ht="12.75">
      <c r="A417" s="4">
        <v>50</v>
      </c>
      <c r="B417" s="4">
        <v>1</v>
      </c>
      <c r="C417" s="4">
        <v>0</v>
      </c>
      <c r="D417" s="4">
        <v>2</v>
      </c>
      <c r="E417" s="4">
        <v>0</v>
      </c>
      <c r="F417" s="4">
        <v>112.94</v>
      </c>
      <c r="G417" s="4" t="s">
        <v>161</v>
      </c>
      <c r="H417" s="4" t="s">
        <v>162</v>
      </c>
      <c r="I417" s="4"/>
      <c r="J417" s="4"/>
      <c r="K417" s="4">
        <v>212</v>
      </c>
      <c r="L417" s="4">
        <v>35</v>
      </c>
      <c r="M417" s="4">
        <v>1</v>
      </c>
      <c r="N417" s="4" t="s">
        <v>3</v>
      </c>
      <c r="O417" s="4">
        <v>2</v>
      </c>
      <c r="P417" s="4"/>
      <c r="Q417" s="4"/>
      <c r="R417" s="4"/>
      <c r="S417" s="4"/>
      <c r="T417" s="4"/>
      <c r="U417" s="4"/>
      <c r="V417" s="4"/>
      <c r="W417" s="4">
        <v>112.94</v>
      </c>
      <c r="X417" s="4">
        <v>1</v>
      </c>
      <c r="Y417" s="4">
        <v>112.94</v>
      </c>
      <c r="Z417" s="4"/>
      <c r="AA417" s="4"/>
      <c r="AB417" s="4"/>
    </row>
    <row r="418" spans="1:28" ht="12.75">
      <c r="A418" s="4">
        <v>50</v>
      </c>
      <c r="B418" s="4">
        <f>IF(Source!F418=0,1,0)</f>
        <v>1</v>
      </c>
      <c r="C418" s="4">
        <v>0</v>
      </c>
      <c r="D418" s="4">
        <v>2</v>
      </c>
      <c r="E418" s="4">
        <v>0</v>
      </c>
      <c r="F418" s="4">
        <f>ROUND(ROUND((F413-F414-F415-F416-F417),0),O418)</f>
        <v>0</v>
      </c>
      <c r="G418" s="4" t="s">
        <v>163</v>
      </c>
      <c r="H418" s="4" t="s">
        <v>164</v>
      </c>
      <c r="I418" s="4"/>
      <c r="J418" s="4"/>
      <c r="K418" s="4">
        <v>212</v>
      </c>
      <c r="L418" s="4">
        <v>36</v>
      </c>
      <c r="M418" s="4">
        <v>2</v>
      </c>
      <c r="N418" s="4" t="s">
        <v>3</v>
      </c>
      <c r="O418" s="4">
        <v>0</v>
      </c>
      <c r="P418" s="4"/>
      <c r="Q418" s="4"/>
      <c r="R418" s="4"/>
      <c r="S418" s="4"/>
      <c r="T418" s="4"/>
      <c r="U418" s="4"/>
      <c r="V418" s="4"/>
      <c r="W418" s="4">
        <v>0</v>
      </c>
      <c r="X418" s="4">
        <v>1</v>
      </c>
      <c r="Y418" s="4">
        <v>506293</v>
      </c>
      <c r="Z418" s="4"/>
      <c r="AA418" s="4"/>
      <c r="AB418" s="4"/>
    </row>
    <row r="420" spans="1:9" ht="12.75">
      <c r="A420">
        <v>71</v>
      </c>
      <c r="B420">
        <v>1</v>
      </c>
      <c r="D420">
        <v>200001</v>
      </c>
      <c r="E420">
        <v>36587131</v>
      </c>
      <c r="F420" t="s">
        <v>384</v>
      </c>
      <c r="G420" t="s">
        <v>385</v>
      </c>
      <c r="H420">
        <v>80</v>
      </c>
      <c r="I420">
        <v>20</v>
      </c>
    </row>
    <row r="423" spans="1:16" ht="12.75">
      <c r="A423">
        <v>70</v>
      </c>
      <c r="B423">
        <v>1</v>
      </c>
      <c r="D423">
        <v>1</v>
      </c>
      <c r="E423" t="s">
        <v>386</v>
      </c>
      <c r="F423" t="s">
        <v>387</v>
      </c>
      <c r="G423">
        <v>1</v>
      </c>
      <c r="H423">
        <v>0</v>
      </c>
      <c r="J423">
        <v>1</v>
      </c>
      <c r="K423">
        <v>0</v>
      </c>
      <c r="N423">
        <v>0</v>
      </c>
      <c r="P423" t="s">
        <v>388</v>
      </c>
    </row>
    <row r="424" spans="1:16" ht="12.75">
      <c r="A424">
        <v>70</v>
      </c>
      <c r="B424">
        <v>1</v>
      </c>
      <c r="D424">
        <v>2</v>
      </c>
      <c r="E424" t="s">
        <v>389</v>
      </c>
      <c r="F424" t="s">
        <v>390</v>
      </c>
      <c r="G424">
        <v>0</v>
      </c>
      <c r="H424">
        <v>0</v>
      </c>
      <c r="J424">
        <v>1</v>
      </c>
      <c r="K424">
        <v>0</v>
      </c>
      <c r="N424">
        <v>0</v>
      </c>
      <c r="P424" t="s">
        <v>391</v>
      </c>
    </row>
    <row r="425" spans="1:16" ht="12.75">
      <c r="A425">
        <v>70</v>
      </c>
      <c r="B425">
        <v>1</v>
      </c>
      <c r="D425">
        <v>3</v>
      </c>
      <c r="E425" t="s">
        <v>392</v>
      </c>
      <c r="F425" t="s">
        <v>393</v>
      </c>
      <c r="G425">
        <v>0</v>
      </c>
      <c r="H425">
        <v>0</v>
      </c>
      <c r="J425">
        <v>1</v>
      </c>
      <c r="K425">
        <v>0</v>
      </c>
      <c r="N425">
        <v>0</v>
      </c>
      <c r="P425" t="s">
        <v>394</v>
      </c>
    </row>
    <row r="426" spans="1:16" ht="12.75">
      <c r="A426">
        <v>70</v>
      </c>
      <c r="B426">
        <v>1</v>
      </c>
      <c r="D426">
        <v>4</v>
      </c>
      <c r="E426" t="s">
        <v>395</v>
      </c>
      <c r="F426" t="s">
        <v>396</v>
      </c>
      <c r="G426">
        <v>1</v>
      </c>
      <c r="H426">
        <v>0</v>
      </c>
      <c r="J426">
        <v>2</v>
      </c>
      <c r="K426">
        <v>0</v>
      </c>
      <c r="N426">
        <v>0</v>
      </c>
    </row>
    <row r="427" spans="1:16" ht="12.75">
      <c r="A427">
        <v>70</v>
      </c>
      <c r="B427">
        <v>1</v>
      </c>
      <c r="D427">
        <v>5</v>
      </c>
      <c r="E427" t="s">
        <v>397</v>
      </c>
      <c r="F427" t="s">
        <v>398</v>
      </c>
      <c r="G427">
        <v>0</v>
      </c>
      <c r="H427">
        <v>0</v>
      </c>
      <c r="J427">
        <v>2</v>
      </c>
      <c r="K427">
        <v>0</v>
      </c>
      <c r="N427">
        <v>0</v>
      </c>
    </row>
    <row r="428" spans="1:16" ht="12.75">
      <c r="A428">
        <v>70</v>
      </c>
      <c r="B428">
        <v>1</v>
      </c>
      <c r="D428">
        <v>6</v>
      </c>
      <c r="E428" t="s">
        <v>399</v>
      </c>
      <c r="F428" t="s">
        <v>400</v>
      </c>
      <c r="G428">
        <v>0</v>
      </c>
      <c r="H428">
        <v>0</v>
      </c>
      <c r="J428">
        <v>2</v>
      </c>
      <c r="K428">
        <v>0</v>
      </c>
      <c r="N428">
        <v>0</v>
      </c>
    </row>
    <row r="429" spans="1:16" ht="12.75">
      <c r="A429">
        <v>70</v>
      </c>
      <c r="B429">
        <v>1</v>
      </c>
      <c r="D429">
        <v>7</v>
      </c>
      <c r="E429" t="s">
        <v>401</v>
      </c>
      <c r="F429" t="s">
        <v>402</v>
      </c>
      <c r="G429">
        <v>0</v>
      </c>
      <c r="H429">
        <v>0</v>
      </c>
      <c r="I429" t="s">
        <v>403</v>
      </c>
      <c r="J429">
        <v>0</v>
      </c>
      <c r="K429">
        <v>0</v>
      </c>
      <c r="N429">
        <v>0</v>
      </c>
      <c r="P429" t="s">
        <v>404</v>
      </c>
    </row>
    <row r="430" spans="1:16" ht="12.75">
      <c r="A430">
        <v>70</v>
      </c>
      <c r="B430">
        <v>1</v>
      </c>
      <c r="D430">
        <v>8</v>
      </c>
      <c r="E430" t="s">
        <v>405</v>
      </c>
      <c r="F430" t="s">
        <v>406</v>
      </c>
      <c r="G430">
        <v>0</v>
      </c>
      <c r="H430">
        <v>0</v>
      </c>
      <c r="I430" t="s">
        <v>407</v>
      </c>
      <c r="J430">
        <v>0</v>
      </c>
      <c r="K430">
        <v>0</v>
      </c>
      <c r="N430">
        <v>0</v>
      </c>
      <c r="P430" t="s">
        <v>405</v>
      </c>
    </row>
    <row r="431" spans="1:16" ht="12.75">
      <c r="A431">
        <v>70</v>
      </c>
      <c r="B431">
        <v>1</v>
      </c>
      <c r="D431">
        <v>9</v>
      </c>
      <c r="E431" t="s">
        <v>408</v>
      </c>
      <c r="F431" t="s">
        <v>409</v>
      </c>
      <c r="G431">
        <v>0</v>
      </c>
      <c r="H431">
        <v>0</v>
      </c>
      <c r="I431" t="s">
        <v>410</v>
      </c>
      <c r="J431">
        <v>0</v>
      </c>
      <c r="K431">
        <v>0</v>
      </c>
      <c r="N431">
        <v>0</v>
      </c>
      <c r="P431" t="s">
        <v>411</v>
      </c>
    </row>
    <row r="432" spans="1:16" ht="12.75">
      <c r="A432">
        <v>70</v>
      </c>
      <c r="B432">
        <v>1</v>
      </c>
      <c r="D432">
        <v>10</v>
      </c>
      <c r="E432" t="s">
        <v>412</v>
      </c>
      <c r="F432" t="s">
        <v>413</v>
      </c>
      <c r="G432">
        <v>0</v>
      </c>
      <c r="H432">
        <v>0</v>
      </c>
      <c r="I432" t="s">
        <v>414</v>
      </c>
      <c r="J432">
        <v>0</v>
      </c>
      <c r="K432">
        <v>0</v>
      </c>
      <c r="N432">
        <v>0</v>
      </c>
      <c r="P432" t="s">
        <v>415</v>
      </c>
    </row>
    <row r="433" spans="1:16" ht="12.75">
      <c r="A433">
        <v>70</v>
      </c>
      <c r="B433">
        <v>1</v>
      </c>
      <c r="D433">
        <v>11</v>
      </c>
      <c r="E433" t="s">
        <v>416</v>
      </c>
      <c r="F433" t="s">
        <v>417</v>
      </c>
      <c r="G433">
        <v>0</v>
      </c>
      <c r="H433">
        <v>0</v>
      </c>
      <c r="I433" t="s">
        <v>418</v>
      </c>
      <c r="J433">
        <v>0</v>
      </c>
      <c r="K433">
        <v>0</v>
      </c>
      <c r="N433">
        <v>0</v>
      </c>
      <c r="P433" t="s">
        <v>419</v>
      </c>
    </row>
    <row r="434" spans="1:16" ht="12.75">
      <c r="A434">
        <v>70</v>
      </c>
      <c r="B434">
        <v>1</v>
      </c>
      <c r="D434">
        <v>12</v>
      </c>
      <c r="E434" t="s">
        <v>420</v>
      </c>
      <c r="F434" t="s">
        <v>421</v>
      </c>
      <c r="G434">
        <v>0</v>
      </c>
      <c r="H434">
        <v>0</v>
      </c>
      <c r="J434">
        <v>0</v>
      </c>
      <c r="K434">
        <v>0</v>
      </c>
      <c r="N434">
        <v>0</v>
      </c>
      <c r="P434" t="s">
        <v>422</v>
      </c>
    </row>
    <row r="435" spans="1:16" ht="12.75">
      <c r="A435">
        <v>70</v>
      </c>
      <c r="B435">
        <v>1</v>
      </c>
      <c r="D435">
        <v>1</v>
      </c>
      <c r="E435" t="s">
        <v>423</v>
      </c>
      <c r="F435" t="s">
        <v>424</v>
      </c>
      <c r="G435">
        <v>0.9</v>
      </c>
      <c r="H435">
        <v>1</v>
      </c>
      <c r="I435" t="s">
        <v>425</v>
      </c>
      <c r="J435">
        <v>0</v>
      </c>
      <c r="K435">
        <v>0</v>
      </c>
      <c r="N435">
        <v>0</v>
      </c>
      <c r="P435" t="s">
        <v>426</v>
      </c>
    </row>
    <row r="436" spans="1:16" ht="12.75">
      <c r="A436">
        <v>70</v>
      </c>
      <c r="B436">
        <v>1</v>
      </c>
      <c r="D436">
        <v>2</v>
      </c>
      <c r="E436" t="s">
        <v>427</v>
      </c>
      <c r="F436" t="s">
        <v>428</v>
      </c>
      <c r="G436">
        <v>0.85</v>
      </c>
      <c r="H436">
        <v>1</v>
      </c>
      <c r="I436" t="s">
        <v>429</v>
      </c>
      <c r="J436">
        <v>0</v>
      </c>
      <c r="K436">
        <v>0</v>
      </c>
      <c r="N436">
        <v>0</v>
      </c>
      <c r="P436" t="s">
        <v>430</v>
      </c>
    </row>
    <row r="437" spans="1:16" ht="12.75">
      <c r="A437">
        <v>70</v>
      </c>
      <c r="B437">
        <v>1</v>
      </c>
      <c r="D437">
        <v>3</v>
      </c>
      <c r="E437" t="s">
        <v>431</v>
      </c>
      <c r="F437" t="s">
        <v>432</v>
      </c>
      <c r="G437">
        <v>1.03</v>
      </c>
      <c r="H437">
        <v>0</v>
      </c>
      <c r="J437">
        <v>0</v>
      </c>
      <c r="K437">
        <v>0</v>
      </c>
      <c r="N437">
        <v>0</v>
      </c>
      <c r="P437" t="s">
        <v>433</v>
      </c>
    </row>
    <row r="438" spans="1:16" ht="12.75">
      <c r="A438">
        <v>70</v>
      </c>
      <c r="B438">
        <v>1</v>
      </c>
      <c r="D438">
        <v>4</v>
      </c>
      <c r="E438" t="s">
        <v>434</v>
      </c>
      <c r="F438" t="s">
        <v>435</v>
      </c>
      <c r="G438">
        <v>1.09</v>
      </c>
      <c r="H438">
        <v>0</v>
      </c>
      <c r="J438">
        <v>0</v>
      </c>
      <c r="K438">
        <v>0</v>
      </c>
      <c r="N438">
        <v>0</v>
      </c>
      <c r="P438" t="s">
        <v>436</v>
      </c>
    </row>
    <row r="439" spans="1:16" ht="12.75">
      <c r="A439">
        <v>70</v>
      </c>
      <c r="B439">
        <v>1</v>
      </c>
      <c r="D439">
        <v>5</v>
      </c>
      <c r="E439" t="s">
        <v>437</v>
      </c>
      <c r="F439" t="s">
        <v>438</v>
      </c>
      <c r="G439">
        <v>7</v>
      </c>
      <c r="H439">
        <v>0</v>
      </c>
      <c r="J439">
        <v>0</v>
      </c>
      <c r="K439">
        <v>0</v>
      </c>
      <c r="N439">
        <v>0</v>
      </c>
    </row>
    <row r="440" spans="1:16" ht="12.75">
      <c r="A440">
        <v>70</v>
      </c>
      <c r="B440">
        <v>1</v>
      </c>
      <c r="D440">
        <v>6</v>
      </c>
      <c r="E440" t="s">
        <v>439</v>
      </c>
      <c r="G440">
        <v>2</v>
      </c>
      <c r="H440">
        <v>0</v>
      </c>
      <c r="J440">
        <v>0</v>
      </c>
      <c r="K440">
        <v>0</v>
      </c>
      <c r="N440">
        <v>0</v>
      </c>
    </row>
    <row r="442" ht="12.75">
      <c r="A442">
        <v>-1</v>
      </c>
    </row>
    <row r="444" spans="1:15" ht="12.75">
      <c r="A444" s="3">
        <v>75</v>
      </c>
      <c r="B444" s="3" t="s">
        <v>440</v>
      </c>
      <c r="C444" s="3">
        <v>2023</v>
      </c>
      <c r="D444" s="3">
        <v>0</v>
      </c>
      <c r="E444" s="3">
        <v>9</v>
      </c>
      <c r="F444" s="3"/>
      <c r="G444" s="3">
        <v>0</v>
      </c>
      <c r="H444" s="3">
        <v>1</v>
      </c>
      <c r="I444" s="3">
        <v>0</v>
      </c>
      <c r="J444" s="3">
        <v>1</v>
      </c>
      <c r="K444" s="3">
        <v>0</v>
      </c>
      <c r="L444" s="3">
        <v>0</v>
      </c>
      <c r="M444" s="3">
        <v>0</v>
      </c>
      <c r="N444" s="3">
        <v>44571020</v>
      </c>
      <c r="O444" s="3">
        <v>1</v>
      </c>
    </row>
    <row r="445" spans="1:40" ht="12.75">
      <c r="A445" s="5">
        <v>3</v>
      </c>
      <c r="B445" s="5" t="s">
        <v>441</v>
      </c>
      <c r="C445" s="5">
        <v>1</v>
      </c>
      <c r="D445" s="5">
        <v>5.15</v>
      </c>
      <c r="E445" s="5">
        <v>7.72</v>
      </c>
      <c r="F445" s="5">
        <v>28.93</v>
      </c>
      <c r="G445" s="5">
        <v>28.93</v>
      </c>
      <c r="H445" s="5">
        <v>1</v>
      </c>
      <c r="I445" s="5">
        <v>1</v>
      </c>
      <c r="J445" s="5">
        <v>2</v>
      </c>
      <c r="K445" s="5">
        <v>28.93</v>
      </c>
      <c r="L445" s="5">
        <v>7.72</v>
      </c>
      <c r="M445" s="5">
        <v>1</v>
      </c>
      <c r="N445" s="5">
        <v>5.15</v>
      </c>
      <c r="O445" s="5">
        <v>1</v>
      </c>
      <c r="P445" s="5">
        <v>1</v>
      </c>
      <c r="Q445" s="5">
        <v>28.93</v>
      </c>
      <c r="R445" s="5">
        <v>7.72</v>
      </c>
      <c r="S445" s="5" t="s">
        <v>3</v>
      </c>
      <c r="T445" s="5" t="s">
        <v>3</v>
      </c>
      <c r="U445" s="5" t="s">
        <v>3</v>
      </c>
      <c r="V445" s="5" t="s">
        <v>3</v>
      </c>
      <c r="W445" s="5" t="s">
        <v>3</v>
      </c>
      <c r="X445" s="5" t="s">
        <v>3</v>
      </c>
      <c r="Y445" s="5" t="s">
        <v>3</v>
      </c>
      <c r="Z445" s="5" t="s">
        <v>3</v>
      </c>
      <c r="AA445" s="5" t="s">
        <v>3</v>
      </c>
      <c r="AB445" s="5" t="s">
        <v>3</v>
      </c>
      <c r="AC445" s="5" t="s">
        <v>3</v>
      </c>
      <c r="AD445" s="5" t="s">
        <v>3</v>
      </c>
      <c r="AE445" s="5" t="s">
        <v>3</v>
      </c>
      <c r="AF445" s="5" t="s">
        <v>3</v>
      </c>
      <c r="AG445" s="5" t="s">
        <v>3</v>
      </c>
      <c r="AH445" s="5" t="s">
        <v>3</v>
      </c>
      <c r="AI445" s="5"/>
      <c r="AJ445" s="5"/>
      <c r="AK445" s="5"/>
      <c r="AL445" s="5"/>
      <c r="AM445" s="5"/>
      <c r="AN445" s="5">
        <v>44571021</v>
      </c>
    </row>
    <row r="449" spans="1:5" ht="12.75">
      <c r="A449">
        <v>65</v>
      </c>
      <c r="C449">
        <v>1</v>
      </c>
      <c r="D449">
        <v>0</v>
      </c>
      <c r="E449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6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442</v>
      </c>
      <c r="F1">
        <v>0</v>
      </c>
      <c r="G1">
        <v>0</v>
      </c>
      <c r="H1">
        <v>0</v>
      </c>
      <c r="I1" t="s">
        <v>2</v>
      </c>
      <c r="K1">
        <v>1</v>
      </c>
      <c r="L1">
        <v>46481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60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 t="s">
        <v>11</v>
      </c>
      <c r="CR12" s="1" t="s">
        <v>12</v>
      </c>
      <c r="CS12" s="1">
        <v>42066</v>
      </c>
      <c r="CT12" s="1">
        <v>232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44571020</v>
      </c>
      <c r="E14" s="1">
        <v>0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63" ht="12.75">
      <c r="A16" s="6">
        <v>3</v>
      </c>
      <c r="B16" s="6">
        <v>0</v>
      </c>
      <c r="C16" s="6" t="s">
        <v>3</v>
      </c>
      <c r="D16" s="6" t="s">
        <v>13</v>
      </c>
      <c r="E16" s="7">
        <v>292.63</v>
      </c>
      <c r="F16" s="7">
        <v>287.4</v>
      </c>
      <c r="G16" s="7">
        <v>0</v>
      </c>
      <c r="H16" s="7">
        <v>3.27</v>
      </c>
      <c r="I16" s="7">
        <v>583.3</v>
      </c>
      <c r="J16" s="7">
        <v>63.72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485043</v>
      </c>
      <c r="AU16" s="7">
        <v>0</v>
      </c>
      <c r="AV16" s="7">
        <v>0</v>
      </c>
      <c r="AW16" s="7">
        <v>0</v>
      </c>
      <c r="AX16" s="7">
        <v>0</v>
      </c>
      <c r="AY16" s="7">
        <v>193311.73</v>
      </c>
      <c r="AZ16" s="7">
        <v>14061.16</v>
      </c>
      <c r="BA16" s="7">
        <v>49658.090000000004</v>
      </c>
      <c r="BB16" s="7">
        <v>292633.03</v>
      </c>
      <c r="BC16" s="7">
        <v>287402.19</v>
      </c>
      <c r="BD16" s="7">
        <v>3267.2999999999997</v>
      </c>
      <c r="BE16" s="7">
        <v>0</v>
      </c>
      <c r="BF16" s="7">
        <v>194.9625662</v>
      </c>
      <c r="BG16" s="7">
        <v>38.7599046</v>
      </c>
      <c r="BH16" s="7">
        <v>0</v>
      </c>
      <c r="BI16" s="7">
        <v>64197</v>
      </c>
      <c r="BJ16" s="7">
        <v>34062</v>
      </c>
      <c r="BK16" s="7">
        <v>583302.51</v>
      </c>
    </row>
    <row r="18" spans="1:19" ht="12.75">
      <c r="A18">
        <v>51</v>
      </c>
      <c r="E18" s="8">
        <f>SUMIF(A16:A17,3,E16:E17)</f>
        <v>292.63</v>
      </c>
      <c r="F18" s="8">
        <f>SUMIF(A16:A17,3,F16:F17)</f>
        <v>287.4</v>
      </c>
      <c r="G18" s="8">
        <f>SUMIF(A16:A17,3,G16:G17)</f>
        <v>0</v>
      </c>
      <c r="H18" s="8">
        <f>SUMIF(A16:A17,3,H16:H17)</f>
        <v>3.27</v>
      </c>
      <c r="I18" s="8">
        <f>SUMIF(A16:A17,3,I16:I17)</f>
        <v>583.3</v>
      </c>
      <c r="J18" s="8">
        <f>SUMIF(A16:A17,3,J16:J17)</f>
        <v>63.72</v>
      </c>
      <c r="K18" s="8"/>
      <c r="L18" s="8"/>
      <c r="M18" s="8"/>
      <c r="N18" s="8"/>
      <c r="O18" s="8"/>
      <c r="P18" s="8"/>
      <c r="Q18" s="8"/>
      <c r="R18" s="8"/>
      <c r="S18" s="8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0</v>
      </c>
      <c r="F20" s="4">
        <v>485043.33</v>
      </c>
      <c r="G20" s="4" t="s">
        <v>95</v>
      </c>
      <c r="H20" s="4" t="s">
        <v>96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0</v>
      </c>
      <c r="G21" s="4" t="s">
        <v>97</v>
      </c>
      <c r="H21" s="4" t="s">
        <v>98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99</v>
      </c>
      <c r="H22" s="4" t="s">
        <v>100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0</v>
      </c>
      <c r="G23" s="4" t="s">
        <v>101</v>
      </c>
      <c r="H23" s="4" t="s">
        <v>102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239776.12</v>
      </c>
      <c r="G24" s="4" t="s">
        <v>103</v>
      </c>
      <c r="H24" s="4" t="s">
        <v>104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105</v>
      </c>
      <c r="H25" s="4" t="s">
        <v>106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239776.12</v>
      </c>
      <c r="G26" s="4" t="s">
        <v>107</v>
      </c>
      <c r="H26" s="4" t="s">
        <v>108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109</v>
      </c>
      <c r="H27" s="4" t="s">
        <v>110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111</v>
      </c>
      <c r="H28" s="4" t="s">
        <v>112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113</v>
      </c>
      <c r="H29" s="4" t="s">
        <v>114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193311.73</v>
      </c>
      <c r="G30" s="4" t="s">
        <v>115</v>
      </c>
      <c r="H30" s="4" t="s">
        <v>116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117</v>
      </c>
      <c r="H31" s="4" t="s">
        <v>118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14061.160000000002</v>
      </c>
      <c r="G32" s="4" t="s">
        <v>119</v>
      </c>
      <c r="H32" s="4" t="s">
        <v>120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49658.09</v>
      </c>
      <c r="G33" s="4" t="s">
        <v>121</v>
      </c>
      <c r="H33" s="4" t="s">
        <v>122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123</v>
      </c>
      <c r="H34" s="4" t="s">
        <v>124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292633.03</v>
      </c>
      <c r="G35" s="4" t="s">
        <v>125</v>
      </c>
      <c r="H35" s="4" t="s">
        <v>126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287402.19</v>
      </c>
      <c r="G36" s="4" t="s">
        <v>127</v>
      </c>
      <c r="H36" s="4" t="s">
        <v>128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3267.2999999999997</v>
      </c>
      <c r="G37" s="4" t="s">
        <v>129</v>
      </c>
      <c r="H37" s="4" t="s">
        <v>130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131</v>
      </c>
      <c r="H38" s="4" t="s">
        <v>132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133</v>
      </c>
      <c r="H39" s="4" t="s">
        <v>134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194.9625662</v>
      </c>
      <c r="G40" s="4" t="s">
        <v>135</v>
      </c>
      <c r="H40" s="4" t="s">
        <v>136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38.7599046</v>
      </c>
      <c r="G41" s="4" t="s">
        <v>137</v>
      </c>
      <c r="H41" s="4" t="s">
        <v>138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139</v>
      </c>
      <c r="H42" s="4" t="s">
        <v>140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2297.39</v>
      </c>
      <c r="G43" s="4" t="s">
        <v>141</v>
      </c>
      <c r="H43" s="4" t="s">
        <v>142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ht="12.75">
      <c r="A44" s="4">
        <v>50</v>
      </c>
      <c r="B44" s="4">
        <v>0</v>
      </c>
      <c r="C44" s="4">
        <v>0</v>
      </c>
      <c r="D44" s="4">
        <v>1</v>
      </c>
      <c r="E44" s="4">
        <v>0</v>
      </c>
      <c r="F44" s="4">
        <v>64196.93</v>
      </c>
      <c r="G44" s="4" t="s">
        <v>143</v>
      </c>
      <c r="H44" s="4" t="s">
        <v>144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0</v>
      </c>
      <c r="F45" s="4">
        <v>34062.25</v>
      </c>
      <c r="G45" s="4" t="s">
        <v>145</v>
      </c>
      <c r="H45" s="4" t="s">
        <v>146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ht="12.75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583302.51</v>
      </c>
      <c r="G46" s="4" t="s">
        <v>147</v>
      </c>
      <c r="H46" s="4" t="s">
        <v>148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ht="12.75">
      <c r="A47" s="4">
        <v>50</v>
      </c>
      <c r="B47" s="4">
        <v>1</v>
      </c>
      <c r="C47" s="4">
        <v>0</v>
      </c>
      <c r="D47" s="4">
        <v>2</v>
      </c>
      <c r="E47" s="4">
        <v>201</v>
      </c>
      <c r="F47" s="4">
        <v>485043</v>
      </c>
      <c r="G47" s="4" t="s">
        <v>149</v>
      </c>
      <c r="H47" s="4" t="s">
        <v>150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0</v>
      </c>
      <c r="P47" s="4"/>
    </row>
    <row r="48" spans="1:16" ht="12.75">
      <c r="A48" s="4">
        <v>50</v>
      </c>
      <c r="B48" s="4">
        <v>1</v>
      </c>
      <c r="C48" s="4">
        <v>0</v>
      </c>
      <c r="D48" s="4">
        <v>2</v>
      </c>
      <c r="E48" s="4">
        <v>210</v>
      </c>
      <c r="F48" s="4">
        <v>64197</v>
      </c>
      <c r="G48" s="4" t="s">
        <v>151</v>
      </c>
      <c r="H48" s="4" t="s">
        <v>144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0</v>
      </c>
      <c r="P48" s="4"/>
    </row>
    <row r="49" spans="1:16" ht="12.75">
      <c r="A49" s="4">
        <v>50</v>
      </c>
      <c r="B49" s="4">
        <v>1</v>
      </c>
      <c r="C49" s="4">
        <v>0</v>
      </c>
      <c r="D49" s="4">
        <v>2</v>
      </c>
      <c r="E49" s="4">
        <v>211</v>
      </c>
      <c r="F49" s="4">
        <v>34062</v>
      </c>
      <c r="G49" s="4" t="s">
        <v>152</v>
      </c>
      <c r="H49" s="4" t="s">
        <v>146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0</v>
      </c>
      <c r="P49" s="4"/>
    </row>
    <row r="50" spans="1:16" ht="12.75">
      <c r="A50" s="4">
        <v>50</v>
      </c>
      <c r="B50" s="4">
        <v>1</v>
      </c>
      <c r="C50" s="4">
        <v>0</v>
      </c>
      <c r="D50" s="4">
        <v>2</v>
      </c>
      <c r="E50" s="4">
        <v>213</v>
      </c>
      <c r="F50" s="4">
        <v>583302</v>
      </c>
      <c r="G50" s="4" t="s">
        <v>153</v>
      </c>
      <c r="H50" s="4" t="s">
        <v>154</v>
      </c>
      <c r="I50" s="4"/>
      <c r="J50" s="4"/>
      <c r="K50" s="4">
        <v>212</v>
      </c>
      <c r="L50" s="4">
        <v>31</v>
      </c>
      <c r="M50" s="4">
        <v>0</v>
      </c>
      <c r="N50" s="4" t="s">
        <v>3</v>
      </c>
      <c r="O50" s="4">
        <v>2</v>
      </c>
      <c r="P50" s="4"/>
    </row>
    <row r="51" spans="1:16" ht="12.75">
      <c r="A51" s="4">
        <v>50</v>
      </c>
      <c r="B51" s="4">
        <f>IF(SourceObSm!F51&lt;&gt;0,1,0)</f>
        <v>1</v>
      </c>
      <c r="C51" s="4">
        <v>0</v>
      </c>
      <c r="D51" s="4">
        <v>2</v>
      </c>
      <c r="E51" s="4">
        <v>0</v>
      </c>
      <c r="F51" s="4">
        <v>31007.14</v>
      </c>
      <c r="G51" s="4" t="s">
        <v>155</v>
      </c>
      <c r="H51" s="4" t="s">
        <v>156</v>
      </c>
      <c r="I51" s="4"/>
      <c r="J51" s="4"/>
      <c r="K51" s="4">
        <v>212</v>
      </c>
      <c r="L51" s="4">
        <v>32</v>
      </c>
      <c r="M51" s="4">
        <v>1</v>
      </c>
      <c r="N51" s="4" t="s">
        <v>3</v>
      </c>
      <c r="O51" s="4">
        <v>2</v>
      </c>
      <c r="P51" s="4"/>
    </row>
    <row r="52" spans="1:16" ht="12.75">
      <c r="A52" s="4">
        <v>50</v>
      </c>
      <c r="B52" s="4">
        <f>IF(SourceObSm!F52&lt;&gt;0,1,0)</f>
        <v>1</v>
      </c>
      <c r="C52" s="4">
        <v>0</v>
      </c>
      <c r="D52" s="4">
        <v>2</v>
      </c>
      <c r="E52" s="4">
        <v>0</v>
      </c>
      <c r="F52" s="4">
        <v>45889.28</v>
      </c>
      <c r="G52" s="4" t="s">
        <v>157</v>
      </c>
      <c r="H52" s="4" t="s">
        <v>158</v>
      </c>
      <c r="I52" s="4"/>
      <c r="J52" s="4"/>
      <c r="K52" s="4">
        <v>212</v>
      </c>
      <c r="L52" s="4">
        <v>33</v>
      </c>
      <c r="M52" s="4">
        <v>1</v>
      </c>
      <c r="N52" s="4" t="s">
        <v>3</v>
      </c>
      <c r="O52" s="4">
        <v>2</v>
      </c>
      <c r="P52" s="4"/>
    </row>
    <row r="53" spans="1:16" ht="12.75">
      <c r="A53" s="4">
        <v>50</v>
      </c>
      <c r="B53" s="4">
        <f>IF(SourceObSm!F53&lt;&gt;0,1,0)</f>
        <v>0</v>
      </c>
      <c r="C53" s="4">
        <v>0</v>
      </c>
      <c r="D53" s="4">
        <v>2</v>
      </c>
      <c r="E53" s="4">
        <v>0</v>
      </c>
      <c r="F53" s="4">
        <v>0</v>
      </c>
      <c r="G53" s="4" t="s">
        <v>159</v>
      </c>
      <c r="H53" s="4" t="s">
        <v>160</v>
      </c>
      <c r="I53" s="4"/>
      <c r="J53" s="4"/>
      <c r="K53" s="4">
        <v>212</v>
      </c>
      <c r="L53" s="4">
        <v>34</v>
      </c>
      <c r="M53" s="4">
        <v>1</v>
      </c>
      <c r="N53" s="4" t="s">
        <v>3</v>
      </c>
      <c r="O53" s="4">
        <v>2</v>
      </c>
      <c r="P53" s="4"/>
    </row>
    <row r="54" spans="1:16" ht="12.75">
      <c r="A54" s="4">
        <v>50</v>
      </c>
      <c r="B54" s="4">
        <f>IF(SourceObSm!F54&lt;&gt;0,1,0)</f>
        <v>1</v>
      </c>
      <c r="C54" s="4">
        <v>0</v>
      </c>
      <c r="D54" s="4">
        <v>2</v>
      </c>
      <c r="E54" s="4">
        <v>0</v>
      </c>
      <c r="F54" s="4">
        <v>112.94</v>
      </c>
      <c r="G54" s="4" t="s">
        <v>161</v>
      </c>
      <c r="H54" s="4" t="s">
        <v>162</v>
      </c>
      <c r="I54" s="4"/>
      <c r="J54" s="4"/>
      <c r="K54" s="4">
        <v>212</v>
      </c>
      <c r="L54" s="4">
        <v>35</v>
      </c>
      <c r="M54" s="4">
        <v>1</v>
      </c>
      <c r="N54" s="4" t="s">
        <v>3</v>
      </c>
      <c r="O54" s="4">
        <v>2</v>
      </c>
      <c r="P54" s="4"/>
    </row>
    <row r="55" spans="1:16" ht="12.75">
      <c r="A55" s="4">
        <v>50</v>
      </c>
      <c r="B55" s="4">
        <f>IF(SourceObSm!F55=0,1,0)</f>
        <v>0</v>
      </c>
      <c r="C55" s="4">
        <v>0</v>
      </c>
      <c r="D55" s="4">
        <v>2</v>
      </c>
      <c r="E55" s="4">
        <v>0</v>
      </c>
      <c r="F55" s="4">
        <v>506293</v>
      </c>
      <c r="G55" s="4" t="s">
        <v>163</v>
      </c>
      <c r="H55" s="4" t="s">
        <v>164</v>
      </c>
      <c r="I55" s="4"/>
      <c r="J55" s="4"/>
      <c r="K55" s="4">
        <v>212</v>
      </c>
      <c r="L55" s="4">
        <v>36</v>
      </c>
      <c r="M55" s="4">
        <v>2</v>
      </c>
      <c r="N55" s="4" t="s">
        <v>3</v>
      </c>
      <c r="O55" s="4">
        <v>0</v>
      </c>
      <c r="P55" s="4"/>
    </row>
    <row r="57" ht="12.75">
      <c r="A57">
        <v>-1</v>
      </c>
    </row>
    <row r="60" spans="1:15" ht="12.75">
      <c r="A60" s="3">
        <v>75</v>
      </c>
      <c r="B60" s="3" t="s">
        <v>440</v>
      </c>
      <c r="C60" s="3">
        <v>2023</v>
      </c>
      <c r="D60" s="3">
        <v>0</v>
      </c>
      <c r="E60" s="3">
        <v>9</v>
      </c>
      <c r="F60" s="3"/>
      <c r="G60" s="3">
        <v>0</v>
      </c>
      <c r="H60" s="3">
        <v>1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44571020</v>
      </c>
      <c r="O60" s="3">
        <v>1</v>
      </c>
    </row>
    <row r="61" spans="1:40" ht="12.75">
      <c r="A61" s="5">
        <v>3</v>
      </c>
      <c r="B61" s="5" t="s">
        <v>441</v>
      </c>
      <c r="C61" s="5">
        <v>1</v>
      </c>
      <c r="D61" s="5">
        <v>5.15</v>
      </c>
      <c r="E61" s="5">
        <v>7.72</v>
      </c>
      <c r="F61" s="5">
        <v>28.93</v>
      </c>
      <c r="G61" s="5">
        <v>28.93</v>
      </c>
      <c r="H61" s="5">
        <v>1</v>
      </c>
      <c r="I61" s="5">
        <v>1</v>
      </c>
      <c r="J61" s="5">
        <v>2</v>
      </c>
      <c r="K61" s="5">
        <v>28.93</v>
      </c>
      <c r="L61" s="5">
        <v>7.72</v>
      </c>
      <c r="M61" s="5">
        <v>1</v>
      </c>
      <c r="N61" s="5">
        <v>5.15</v>
      </c>
      <c r="O61" s="5">
        <v>1</v>
      </c>
      <c r="P61" s="5">
        <v>1</v>
      </c>
      <c r="Q61" s="5">
        <v>28.93</v>
      </c>
      <c r="R61" s="5">
        <v>7.72</v>
      </c>
      <c r="S61" s="5" t="s">
        <v>3</v>
      </c>
      <c r="T61" s="5" t="s">
        <v>3</v>
      </c>
      <c r="U61" s="5" t="s">
        <v>3</v>
      </c>
      <c r="V61" s="5" t="s">
        <v>3</v>
      </c>
      <c r="W61" s="5" t="s">
        <v>3</v>
      </c>
      <c r="X61" s="5" t="s">
        <v>3</v>
      </c>
      <c r="Y61" s="5" t="s">
        <v>3</v>
      </c>
      <c r="Z61" s="5" t="s">
        <v>3</v>
      </c>
      <c r="AA61" s="5" t="s">
        <v>3</v>
      </c>
      <c r="AB61" s="5" t="s">
        <v>3</v>
      </c>
      <c r="AC61" s="5" t="s">
        <v>3</v>
      </c>
      <c r="AD61" s="5" t="s">
        <v>3</v>
      </c>
      <c r="AE61" s="5" t="s">
        <v>3</v>
      </c>
      <c r="AF61" s="5" t="s">
        <v>3</v>
      </c>
      <c r="AG61" s="5" t="s">
        <v>3</v>
      </c>
      <c r="AH61" s="5" t="s">
        <v>3</v>
      </c>
      <c r="AI61" s="5"/>
      <c r="AJ61" s="5"/>
      <c r="AK61" s="5"/>
      <c r="AL61" s="5"/>
      <c r="AM61" s="5"/>
      <c r="AN61" s="5">
        <v>44571021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C4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44571020</v>
      </c>
      <c r="C1">
        <v>44571373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443</v>
      </c>
      <c r="K1" t="s">
        <v>444</v>
      </c>
      <c r="L1">
        <v>1191</v>
      </c>
      <c r="N1">
        <v>1013</v>
      </c>
      <c r="O1" t="s">
        <v>445</v>
      </c>
      <c r="P1" t="s">
        <v>445</v>
      </c>
      <c r="Q1">
        <v>1</v>
      </c>
      <c r="W1">
        <v>0</v>
      </c>
      <c r="X1">
        <v>1617615494</v>
      </c>
      <c r="Y1">
        <v>386.4</v>
      </c>
      <c r="AA1">
        <v>0</v>
      </c>
      <c r="AB1">
        <v>0</v>
      </c>
      <c r="AC1">
        <v>0</v>
      </c>
      <c r="AD1">
        <v>219.29</v>
      </c>
      <c r="AE1">
        <v>0</v>
      </c>
      <c r="AF1">
        <v>0</v>
      </c>
      <c r="AG1">
        <v>0</v>
      </c>
      <c r="AH1">
        <v>7.58</v>
      </c>
      <c r="AI1">
        <v>1</v>
      </c>
      <c r="AJ1">
        <v>1</v>
      </c>
      <c r="AK1">
        <v>1</v>
      </c>
      <c r="AL1">
        <v>28.93</v>
      </c>
      <c r="AN1">
        <v>0</v>
      </c>
      <c r="AO1">
        <v>1</v>
      </c>
      <c r="AP1">
        <v>1</v>
      </c>
      <c r="AQ1">
        <v>0</v>
      </c>
      <c r="AR1">
        <v>0</v>
      </c>
      <c r="AT1">
        <v>280</v>
      </c>
      <c r="AU1" t="s">
        <v>22</v>
      </c>
      <c r="AV1">
        <v>1</v>
      </c>
      <c r="AW1">
        <v>2</v>
      </c>
      <c r="AX1">
        <v>44571376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5.795999999999999</v>
      </c>
      <c r="CY1">
        <f aca="true" t="shared" si="0" ref="CY1:CY6">AD1</f>
        <v>219.29</v>
      </c>
      <c r="CZ1">
        <f aca="true" t="shared" si="1" ref="CZ1:CZ6">AH1</f>
        <v>7.58</v>
      </c>
      <c r="DA1">
        <f aca="true" t="shared" si="2" ref="DA1:DA6">AL1</f>
        <v>28.93</v>
      </c>
      <c r="DB1">
        <f aca="true" t="shared" si="3" ref="DB1:DB17">ROUND((ROUND(AT1*CZ1,2)*ROUND((1.2*1.15),7)),2)</f>
        <v>2928.91</v>
      </c>
      <c r="DC1">
        <f aca="true" t="shared" si="4" ref="DC1:DC17">ROUND((ROUND(AT1*AG1,2)*ROUND((1.2*1.15),7)),2)</f>
        <v>0</v>
      </c>
    </row>
    <row r="2" spans="1:107" ht="12.75">
      <c r="A2">
        <f>ROW(Source!A28)</f>
        <v>28</v>
      </c>
      <c r="B2">
        <v>44571020</v>
      </c>
      <c r="C2">
        <v>44571373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446</v>
      </c>
      <c r="L2">
        <v>608254</v>
      </c>
      <c r="N2">
        <v>1013</v>
      </c>
      <c r="O2" t="s">
        <v>447</v>
      </c>
      <c r="P2" t="s">
        <v>447</v>
      </c>
      <c r="Q2">
        <v>1</v>
      </c>
      <c r="W2">
        <v>0</v>
      </c>
      <c r="X2">
        <v>-185737400</v>
      </c>
      <c r="Y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28.93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0</v>
      </c>
      <c r="AU2" t="s">
        <v>22</v>
      </c>
      <c r="AV2">
        <v>2</v>
      </c>
      <c r="AW2">
        <v>2</v>
      </c>
      <c r="AX2">
        <v>44571377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</v>
      </c>
      <c r="CY2">
        <f t="shared" si="0"/>
        <v>0</v>
      </c>
      <c r="CZ2">
        <f t="shared" si="1"/>
        <v>0</v>
      </c>
      <c r="DA2">
        <f t="shared" si="2"/>
        <v>1</v>
      </c>
      <c r="DB2">
        <f t="shared" si="3"/>
        <v>0</v>
      </c>
      <c r="DC2">
        <f t="shared" si="4"/>
        <v>0</v>
      </c>
    </row>
    <row r="3" spans="1:107" ht="12.75">
      <c r="A3">
        <f>ROW(Source!A29)</f>
        <v>29</v>
      </c>
      <c r="B3">
        <v>44571020</v>
      </c>
      <c r="C3">
        <v>44571378</v>
      </c>
      <c r="D3">
        <v>10022687</v>
      </c>
      <c r="E3">
        <v>1</v>
      </c>
      <c r="F3">
        <v>1</v>
      </c>
      <c r="G3">
        <v>1</v>
      </c>
      <c r="H3">
        <v>1</v>
      </c>
      <c r="I3" t="s">
        <v>448</v>
      </c>
      <c r="K3" t="s">
        <v>449</v>
      </c>
      <c r="L3">
        <v>1191</v>
      </c>
      <c r="N3">
        <v>1013</v>
      </c>
      <c r="O3" t="s">
        <v>445</v>
      </c>
      <c r="P3" t="s">
        <v>445</v>
      </c>
      <c r="Q3">
        <v>1</v>
      </c>
      <c r="W3">
        <v>0</v>
      </c>
      <c r="X3">
        <v>374572761</v>
      </c>
      <c r="Y3">
        <v>122.13</v>
      </c>
      <c r="AA3">
        <v>0</v>
      </c>
      <c r="AB3">
        <v>0</v>
      </c>
      <c r="AC3">
        <v>0</v>
      </c>
      <c r="AD3">
        <v>210.9</v>
      </c>
      <c r="AE3">
        <v>0</v>
      </c>
      <c r="AF3">
        <v>0</v>
      </c>
      <c r="AG3">
        <v>0</v>
      </c>
      <c r="AH3">
        <v>7.29</v>
      </c>
      <c r="AI3">
        <v>1</v>
      </c>
      <c r="AJ3">
        <v>1</v>
      </c>
      <c r="AK3">
        <v>1</v>
      </c>
      <c r="AL3">
        <v>28.93</v>
      </c>
      <c r="AN3">
        <v>0</v>
      </c>
      <c r="AO3">
        <v>1</v>
      </c>
      <c r="AP3">
        <v>1</v>
      </c>
      <c r="AQ3">
        <v>0</v>
      </c>
      <c r="AR3">
        <v>0</v>
      </c>
      <c r="AT3">
        <v>88.5</v>
      </c>
      <c r="AU3" t="s">
        <v>22</v>
      </c>
      <c r="AV3">
        <v>1</v>
      </c>
      <c r="AW3">
        <v>2</v>
      </c>
      <c r="AX3">
        <v>44571381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1.83195</v>
      </c>
      <c r="CY3">
        <f t="shared" si="0"/>
        <v>210.9</v>
      </c>
      <c r="CZ3">
        <f t="shared" si="1"/>
        <v>7.29</v>
      </c>
      <c r="DA3">
        <f t="shared" si="2"/>
        <v>28.93</v>
      </c>
      <c r="DB3">
        <f t="shared" si="3"/>
        <v>890.33</v>
      </c>
      <c r="DC3">
        <f t="shared" si="4"/>
        <v>0</v>
      </c>
    </row>
    <row r="4" spans="1:107" ht="12.75">
      <c r="A4">
        <f>ROW(Source!A29)</f>
        <v>29</v>
      </c>
      <c r="B4">
        <v>44571020</v>
      </c>
      <c r="C4">
        <v>44571378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28</v>
      </c>
      <c r="K4" t="s">
        <v>446</v>
      </c>
      <c r="L4">
        <v>608254</v>
      </c>
      <c r="N4">
        <v>1013</v>
      </c>
      <c r="O4" t="s">
        <v>447</v>
      </c>
      <c r="P4" t="s">
        <v>447</v>
      </c>
      <c r="Q4">
        <v>1</v>
      </c>
      <c r="W4">
        <v>0</v>
      </c>
      <c r="X4">
        <v>-185737400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28.93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0</v>
      </c>
      <c r="AU4" t="s">
        <v>22</v>
      </c>
      <c r="AV4">
        <v>2</v>
      </c>
      <c r="AW4">
        <v>2</v>
      </c>
      <c r="AX4">
        <v>44571382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0</v>
      </c>
      <c r="CY4">
        <f t="shared" si="0"/>
        <v>0</v>
      </c>
      <c r="CZ4">
        <f t="shared" si="1"/>
        <v>0</v>
      </c>
      <c r="DA4">
        <f t="shared" si="2"/>
        <v>1</v>
      </c>
      <c r="DB4">
        <f t="shared" si="3"/>
        <v>0</v>
      </c>
      <c r="DC4">
        <f t="shared" si="4"/>
        <v>0</v>
      </c>
    </row>
    <row r="5" spans="1:107" ht="12.75">
      <c r="A5">
        <f>ROW(Source!A30)</f>
        <v>30</v>
      </c>
      <c r="B5">
        <v>44571020</v>
      </c>
      <c r="C5">
        <v>44571383</v>
      </c>
      <c r="D5">
        <v>9914874</v>
      </c>
      <c r="E5">
        <v>1</v>
      </c>
      <c r="F5">
        <v>1</v>
      </c>
      <c r="G5">
        <v>1</v>
      </c>
      <c r="H5">
        <v>1</v>
      </c>
      <c r="I5" t="s">
        <v>443</v>
      </c>
      <c r="K5" t="s">
        <v>444</v>
      </c>
      <c r="L5">
        <v>1191</v>
      </c>
      <c r="N5">
        <v>1013</v>
      </c>
      <c r="O5" t="s">
        <v>445</v>
      </c>
      <c r="P5" t="s">
        <v>445</v>
      </c>
      <c r="Q5">
        <v>1</v>
      </c>
      <c r="W5">
        <v>0</v>
      </c>
      <c r="X5">
        <v>1617615494</v>
      </c>
      <c r="Y5">
        <v>17.746799999999997</v>
      </c>
      <c r="AA5">
        <v>0</v>
      </c>
      <c r="AB5">
        <v>0</v>
      </c>
      <c r="AC5">
        <v>0</v>
      </c>
      <c r="AD5">
        <v>219.29</v>
      </c>
      <c r="AE5">
        <v>0</v>
      </c>
      <c r="AF5">
        <v>0</v>
      </c>
      <c r="AG5">
        <v>0</v>
      </c>
      <c r="AH5">
        <v>7.58</v>
      </c>
      <c r="AI5">
        <v>1</v>
      </c>
      <c r="AJ5">
        <v>1</v>
      </c>
      <c r="AK5">
        <v>1</v>
      </c>
      <c r="AL5">
        <v>28.93</v>
      </c>
      <c r="AN5">
        <v>0</v>
      </c>
      <c r="AO5">
        <v>1</v>
      </c>
      <c r="AP5">
        <v>1</v>
      </c>
      <c r="AQ5">
        <v>0</v>
      </c>
      <c r="AR5">
        <v>0</v>
      </c>
      <c r="AT5">
        <v>12.86</v>
      </c>
      <c r="AU5" t="s">
        <v>22</v>
      </c>
      <c r="AV5">
        <v>1</v>
      </c>
      <c r="AW5">
        <v>2</v>
      </c>
      <c r="AX5">
        <v>44571387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0.24845519999999996</v>
      </c>
      <c r="CY5">
        <f t="shared" si="0"/>
        <v>219.29</v>
      </c>
      <c r="CZ5">
        <f t="shared" si="1"/>
        <v>7.58</v>
      </c>
      <c r="DA5">
        <f t="shared" si="2"/>
        <v>28.93</v>
      </c>
      <c r="DB5">
        <f t="shared" si="3"/>
        <v>134.52</v>
      </c>
      <c r="DC5">
        <f t="shared" si="4"/>
        <v>0</v>
      </c>
    </row>
    <row r="6" spans="1:107" ht="12.75">
      <c r="A6">
        <f>ROW(Source!A30)</f>
        <v>30</v>
      </c>
      <c r="B6">
        <v>44571020</v>
      </c>
      <c r="C6">
        <v>44571383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28</v>
      </c>
      <c r="K6" t="s">
        <v>446</v>
      </c>
      <c r="L6">
        <v>608254</v>
      </c>
      <c r="N6">
        <v>1013</v>
      </c>
      <c r="O6" t="s">
        <v>447</v>
      </c>
      <c r="P6" t="s">
        <v>447</v>
      </c>
      <c r="Q6">
        <v>1</v>
      </c>
      <c r="W6">
        <v>0</v>
      </c>
      <c r="X6">
        <v>-185737400</v>
      </c>
      <c r="Y6">
        <v>81.08879999999999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28.93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58.76</v>
      </c>
      <c r="AU6" t="s">
        <v>22</v>
      </c>
      <c r="AV6">
        <v>2</v>
      </c>
      <c r="AW6">
        <v>2</v>
      </c>
      <c r="AX6">
        <v>44571388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1.1352432</v>
      </c>
      <c r="CY6">
        <f t="shared" si="0"/>
        <v>0</v>
      </c>
      <c r="CZ6">
        <f t="shared" si="1"/>
        <v>0</v>
      </c>
      <c r="DA6">
        <f t="shared" si="2"/>
        <v>1</v>
      </c>
      <c r="DB6">
        <f t="shared" si="3"/>
        <v>0</v>
      </c>
      <c r="DC6">
        <f t="shared" si="4"/>
        <v>0</v>
      </c>
    </row>
    <row r="7" spans="1:107" ht="12.75">
      <c r="A7">
        <f>ROW(Source!A30)</f>
        <v>30</v>
      </c>
      <c r="B7">
        <v>44571020</v>
      </c>
      <c r="C7">
        <v>44571383</v>
      </c>
      <c r="D7">
        <v>13902165</v>
      </c>
      <c r="E7">
        <v>1</v>
      </c>
      <c r="F7">
        <v>1</v>
      </c>
      <c r="G7">
        <v>1</v>
      </c>
      <c r="H7">
        <v>2</v>
      </c>
      <c r="I7" t="s">
        <v>450</v>
      </c>
      <c r="J7" t="s">
        <v>451</v>
      </c>
      <c r="K7" t="s">
        <v>452</v>
      </c>
      <c r="L7">
        <v>1368</v>
      </c>
      <c r="N7">
        <v>1011</v>
      </c>
      <c r="O7" t="s">
        <v>453</v>
      </c>
      <c r="P7" t="s">
        <v>453</v>
      </c>
      <c r="Q7">
        <v>1</v>
      </c>
      <c r="W7">
        <v>0</v>
      </c>
      <c r="X7">
        <v>532452595</v>
      </c>
      <c r="Y7">
        <v>81.08879999999999</v>
      </c>
      <c r="AA7">
        <v>0</v>
      </c>
      <c r="AB7">
        <v>617.14</v>
      </c>
      <c r="AC7">
        <v>326.33</v>
      </c>
      <c r="AD7">
        <v>0</v>
      </c>
      <c r="AE7">
        <v>0</v>
      </c>
      <c r="AF7">
        <v>79.94</v>
      </c>
      <c r="AG7">
        <v>11.28</v>
      </c>
      <c r="AH7">
        <v>0</v>
      </c>
      <c r="AI7">
        <v>1</v>
      </c>
      <c r="AJ7">
        <v>7.72</v>
      </c>
      <c r="AK7">
        <v>28.93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58.76</v>
      </c>
      <c r="AU7" t="s">
        <v>22</v>
      </c>
      <c r="AV7">
        <v>0</v>
      </c>
      <c r="AW7">
        <v>2</v>
      </c>
      <c r="AX7">
        <v>44571389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1.1352432</v>
      </c>
      <c r="CY7">
        <f>AB7</f>
        <v>617.14</v>
      </c>
      <c r="CZ7">
        <f>AF7</f>
        <v>79.94</v>
      </c>
      <c r="DA7">
        <f>AJ7</f>
        <v>7.72</v>
      </c>
      <c r="DB7">
        <f t="shared" si="3"/>
        <v>6482.23</v>
      </c>
      <c r="DC7">
        <f t="shared" si="4"/>
        <v>914.68</v>
      </c>
    </row>
    <row r="8" spans="1:107" ht="12.75">
      <c r="A8">
        <f>ROW(Source!A31)</f>
        <v>31</v>
      </c>
      <c r="B8">
        <v>44571020</v>
      </c>
      <c r="C8">
        <v>44571390</v>
      </c>
      <c r="D8">
        <v>9914874</v>
      </c>
      <c r="E8">
        <v>1</v>
      </c>
      <c r="F8">
        <v>1</v>
      </c>
      <c r="G8">
        <v>1</v>
      </c>
      <c r="H8">
        <v>1</v>
      </c>
      <c r="I8" t="s">
        <v>443</v>
      </c>
      <c r="K8" t="s">
        <v>444</v>
      </c>
      <c r="L8">
        <v>1191</v>
      </c>
      <c r="N8">
        <v>1013</v>
      </c>
      <c r="O8" t="s">
        <v>445</v>
      </c>
      <c r="P8" t="s">
        <v>445</v>
      </c>
      <c r="Q8">
        <v>1</v>
      </c>
      <c r="W8">
        <v>0</v>
      </c>
      <c r="X8">
        <v>1617615494</v>
      </c>
      <c r="Y8">
        <v>212.51999999999995</v>
      </c>
      <c r="AA8">
        <v>0</v>
      </c>
      <c r="AB8">
        <v>0</v>
      </c>
      <c r="AC8">
        <v>0</v>
      </c>
      <c r="AD8">
        <v>219.29</v>
      </c>
      <c r="AE8">
        <v>0</v>
      </c>
      <c r="AF8">
        <v>0</v>
      </c>
      <c r="AG8">
        <v>0</v>
      </c>
      <c r="AH8">
        <v>7.58</v>
      </c>
      <c r="AI8">
        <v>1</v>
      </c>
      <c r="AJ8">
        <v>1</v>
      </c>
      <c r="AK8">
        <v>1</v>
      </c>
      <c r="AL8">
        <v>28.93</v>
      </c>
      <c r="AN8">
        <v>0</v>
      </c>
      <c r="AO8">
        <v>1</v>
      </c>
      <c r="AP8">
        <v>1</v>
      </c>
      <c r="AQ8">
        <v>0</v>
      </c>
      <c r="AR8">
        <v>0</v>
      </c>
      <c r="AT8">
        <v>154</v>
      </c>
      <c r="AU8" t="s">
        <v>22</v>
      </c>
      <c r="AV8">
        <v>1</v>
      </c>
      <c r="AW8">
        <v>2</v>
      </c>
      <c r="AX8">
        <v>44571393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12.708695999999996</v>
      </c>
      <c r="CY8">
        <f>AD8</f>
        <v>219.29</v>
      </c>
      <c r="CZ8">
        <f>AH8</f>
        <v>7.58</v>
      </c>
      <c r="DA8">
        <f>AL8</f>
        <v>28.93</v>
      </c>
      <c r="DB8">
        <f t="shared" si="3"/>
        <v>1610.9</v>
      </c>
      <c r="DC8">
        <f t="shared" si="4"/>
        <v>0</v>
      </c>
    </row>
    <row r="9" spans="1:107" ht="12.75">
      <c r="A9">
        <f>ROW(Source!A31)</f>
        <v>31</v>
      </c>
      <c r="B9">
        <v>44571020</v>
      </c>
      <c r="C9">
        <v>44571390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28</v>
      </c>
      <c r="K9" t="s">
        <v>446</v>
      </c>
      <c r="L9">
        <v>608254</v>
      </c>
      <c r="N9">
        <v>1013</v>
      </c>
      <c r="O9" t="s">
        <v>447</v>
      </c>
      <c r="P9" t="s">
        <v>447</v>
      </c>
      <c r="Q9">
        <v>1</v>
      </c>
      <c r="W9">
        <v>0</v>
      </c>
      <c r="X9">
        <v>-185737400</v>
      </c>
      <c r="Y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28.93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0</v>
      </c>
      <c r="AU9" t="s">
        <v>22</v>
      </c>
      <c r="AV9">
        <v>2</v>
      </c>
      <c r="AW9">
        <v>2</v>
      </c>
      <c r="AX9">
        <v>44571394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Y9*Source!I31</f>
        <v>0</v>
      </c>
      <c r="CY9">
        <f>AD9</f>
        <v>0</v>
      </c>
      <c r="CZ9">
        <f>AH9</f>
        <v>0</v>
      </c>
      <c r="DA9">
        <f>AL9</f>
        <v>1</v>
      </c>
      <c r="DB9">
        <f t="shared" si="3"/>
        <v>0</v>
      </c>
      <c r="DC9">
        <f t="shared" si="4"/>
        <v>0</v>
      </c>
    </row>
    <row r="10" spans="1:107" ht="12.75">
      <c r="A10">
        <f>ROW(Source!A32)</f>
        <v>32</v>
      </c>
      <c r="B10">
        <v>44571020</v>
      </c>
      <c r="C10">
        <v>44571395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28</v>
      </c>
      <c r="K10" t="s">
        <v>446</v>
      </c>
      <c r="L10">
        <v>608254</v>
      </c>
      <c r="N10">
        <v>1013</v>
      </c>
      <c r="O10" t="s">
        <v>447</v>
      </c>
      <c r="P10" t="s">
        <v>447</v>
      </c>
      <c r="Q10">
        <v>1</v>
      </c>
      <c r="W10">
        <v>0</v>
      </c>
      <c r="X10">
        <v>-185737400</v>
      </c>
      <c r="Y10">
        <v>12.240599999999997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28.93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8.87</v>
      </c>
      <c r="AU10" t="s">
        <v>22</v>
      </c>
      <c r="AV10">
        <v>2</v>
      </c>
      <c r="AW10">
        <v>2</v>
      </c>
      <c r="AX10">
        <v>44580238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0.14688719999999997</v>
      </c>
      <c r="CY10">
        <f>AD10</f>
        <v>0</v>
      </c>
      <c r="CZ10">
        <f>AH10</f>
        <v>0</v>
      </c>
      <c r="DA10">
        <f>AL10</f>
        <v>1</v>
      </c>
      <c r="DB10">
        <f t="shared" si="3"/>
        <v>0</v>
      </c>
      <c r="DC10">
        <f t="shared" si="4"/>
        <v>0</v>
      </c>
    </row>
    <row r="11" spans="1:107" ht="12.75">
      <c r="A11">
        <f>ROW(Source!A32)</f>
        <v>32</v>
      </c>
      <c r="B11">
        <v>44571020</v>
      </c>
      <c r="C11">
        <v>44571395</v>
      </c>
      <c r="D11">
        <v>13902216</v>
      </c>
      <c r="E11">
        <v>1</v>
      </c>
      <c r="F11">
        <v>1</v>
      </c>
      <c r="G11">
        <v>1</v>
      </c>
      <c r="H11">
        <v>2</v>
      </c>
      <c r="I11" t="s">
        <v>454</v>
      </c>
      <c r="J11" t="s">
        <v>455</v>
      </c>
      <c r="K11" t="s">
        <v>456</v>
      </c>
      <c r="L11">
        <v>1368</v>
      </c>
      <c r="N11">
        <v>1011</v>
      </c>
      <c r="O11" t="s">
        <v>453</v>
      </c>
      <c r="P11" t="s">
        <v>453</v>
      </c>
      <c r="Q11">
        <v>1</v>
      </c>
      <c r="W11">
        <v>0</v>
      </c>
      <c r="X11">
        <v>-332186188</v>
      </c>
      <c r="Y11">
        <v>12.240599999999997</v>
      </c>
      <c r="AA11">
        <v>0</v>
      </c>
      <c r="AB11">
        <v>493.85</v>
      </c>
      <c r="AC11">
        <v>326.33</v>
      </c>
      <c r="AD11">
        <v>0</v>
      </c>
      <c r="AE11">
        <v>0</v>
      </c>
      <c r="AF11">
        <v>63.97</v>
      </c>
      <c r="AG11">
        <v>11.28</v>
      </c>
      <c r="AH11">
        <v>0</v>
      </c>
      <c r="AI11">
        <v>1</v>
      </c>
      <c r="AJ11">
        <v>7.72</v>
      </c>
      <c r="AK11">
        <v>28.93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8.87</v>
      </c>
      <c r="AU11" t="s">
        <v>22</v>
      </c>
      <c r="AV11">
        <v>0</v>
      </c>
      <c r="AW11">
        <v>2</v>
      </c>
      <c r="AX11">
        <v>44580239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0.14688719999999997</v>
      </c>
      <c r="CY11">
        <f>AB11</f>
        <v>493.85</v>
      </c>
      <c r="CZ11">
        <f>AF11</f>
        <v>63.97</v>
      </c>
      <c r="DA11">
        <f>AJ11</f>
        <v>7.72</v>
      </c>
      <c r="DB11">
        <f t="shared" si="3"/>
        <v>783.03</v>
      </c>
      <c r="DC11">
        <f t="shared" si="4"/>
        <v>138.07</v>
      </c>
    </row>
    <row r="12" spans="1:107" ht="12.75">
      <c r="A12">
        <f>ROW(Source!A33)</f>
        <v>33</v>
      </c>
      <c r="B12">
        <v>44571020</v>
      </c>
      <c r="C12">
        <v>44571400</v>
      </c>
      <c r="D12">
        <v>10022687</v>
      </c>
      <c r="E12">
        <v>1</v>
      </c>
      <c r="F12">
        <v>1</v>
      </c>
      <c r="G12">
        <v>1</v>
      </c>
      <c r="H12">
        <v>1</v>
      </c>
      <c r="I12" t="s">
        <v>448</v>
      </c>
      <c r="K12" t="s">
        <v>449</v>
      </c>
      <c r="L12">
        <v>1191</v>
      </c>
      <c r="N12">
        <v>1013</v>
      </c>
      <c r="O12" t="s">
        <v>445</v>
      </c>
      <c r="P12" t="s">
        <v>445</v>
      </c>
      <c r="Q12">
        <v>1</v>
      </c>
      <c r="W12">
        <v>0</v>
      </c>
      <c r="X12">
        <v>374572761</v>
      </c>
      <c r="Y12">
        <v>122.13</v>
      </c>
      <c r="AA12">
        <v>0</v>
      </c>
      <c r="AB12">
        <v>0</v>
      </c>
      <c r="AC12">
        <v>0</v>
      </c>
      <c r="AD12">
        <v>210.9</v>
      </c>
      <c r="AE12">
        <v>0</v>
      </c>
      <c r="AF12">
        <v>0</v>
      </c>
      <c r="AG12">
        <v>0</v>
      </c>
      <c r="AH12">
        <v>7.29</v>
      </c>
      <c r="AI12">
        <v>1</v>
      </c>
      <c r="AJ12">
        <v>1</v>
      </c>
      <c r="AK12">
        <v>1</v>
      </c>
      <c r="AL12">
        <v>28.93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88.5</v>
      </c>
      <c r="AU12" t="s">
        <v>22</v>
      </c>
      <c r="AV12">
        <v>1</v>
      </c>
      <c r="AW12">
        <v>2</v>
      </c>
      <c r="AX12">
        <v>44571403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Y12*Source!I33</f>
        <v>1.6121159999999999</v>
      </c>
      <c r="CY12">
        <f>AD12</f>
        <v>210.9</v>
      </c>
      <c r="CZ12">
        <f>AH12</f>
        <v>7.29</v>
      </c>
      <c r="DA12">
        <f>AL12</f>
        <v>28.93</v>
      </c>
      <c r="DB12">
        <f t="shared" si="3"/>
        <v>890.33</v>
      </c>
      <c r="DC12">
        <f t="shared" si="4"/>
        <v>0</v>
      </c>
    </row>
    <row r="13" spans="1:107" ht="12.75">
      <c r="A13">
        <f>ROW(Source!A33)</f>
        <v>33</v>
      </c>
      <c r="B13">
        <v>44571020</v>
      </c>
      <c r="C13">
        <v>44571400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28</v>
      </c>
      <c r="K13" t="s">
        <v>446</v>
      </c>
      <c r="L13">
        <v>608254</v>
      </c>
      <c r="N13">
        <v>1013</v>
      </c>
      <c r="O13" t="s">
        <v>447</v>
      </c>
      <c r="P13" t="s">
        <v>447</v>
      </c>
      <c r="Q13">
        <v>1</v>
      </c>
      <c r="W13">
        <v>0</v>
      </c>
      <c r="X13">
        <v>-185737400</v>
      </c>
      <c r="Y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28.93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</v>
      </c>
      <c r="AU13" t="s">
        <v>22</v>
      </c>
      <c r="AV13">
        <v>2</v>
      </c>
      <c r="AW13">
        <v>2</v>
      </c>
      <c r="AX13">
        <v>44571404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Y13*Source!I33</f>
        <v>0</v>
      </c>
      <c r="CY13">
        <f>AD13</f>
        <v>0</v>
      </c>
      <c r="CZ13">
        <f>AH13</f>
        <v>0</v>
      </c>
      <c r="DA13">
        <f>AL13</f>
        <v>1</v>
      </c>
      <c r="DB13">
        <f t="shared" si="3"/>
        <v>0</v>
      </c>
      <c r="DC13">
        <f t="shared" si="4"/>
        <v>0</v>
      </c>
    </row>
    <row r="14" spans="1:107" ht="12.75">
      <c r="A14">
        <f>ROW(Source!A34)</f>
        <v>34</v>
      </c>
      <c r="B14">
        <v>44571020</v>
      </c>
      <c r="C14">
        <v>44571405</v>
      </c>
      <c r="D14">
        <v>9915005</v>
      </c>
      <c r="E14">
        <v>1</v>
      </c>
      <c r="F14">
        <v>1</v>
      </c>
      <c r="G14">
        <v>1</v>
      </c>
      <c r="H14">
        <v>1</v>
      </c>
      <c r="I14" t="s">
        <v>457</v>
      </c>
      <c r="K14" t="s">
        <v>458</v>
      </c>
      <c r="L14">
        <v>1191</v>
      </c>
      <c r="N14">
        <v>1013</v>
      </c>
      <c r="O14" t="s">
        <v>445</v>
      </c>
      <c r="P14" t="s">
        <v>445</v>
      </c>
      <c r="Q14">
        <v>1</v>
      </c>
      <c r="W14">
        <v>0</v>
      </c>
      <c r="X14">
        <v>-937125876</v>
      </c>
      <c r="Y14">
        <v>17.291399999999996</v>
      </c>
      <c r="AA14">
        <v>0</v>
      </c>
      <c r="AB14">
        <v>0</v>
      </c>
      <c r="AC14">
        <v>0</v>
      </c>
      <c r="AD14">
        <v>239.83</v>
      </c>
      <c r="AE14">
        <v>0</v>
      </c>
      <c r="AF14">
        <v>0</v>
      </c>
      <c r="AG14">
        <v>0</v>
      </c>
      <c r="AH14">
        <v>8.29</v>
      </c>
      <c r="AI14">
        <v>1</v>
      </c>
      <c r="AJ14">
        <v>1</v>
      </c>
      <c r="AK14">
        <v>1</v>
      </c>
      <c r="AL14">
        <v>28.93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12.53</v>
      </c>
      <c r="AU14" t="s">
        <v>22</v>
      </c>
      <c r="AV14">
        <v>1</v>
      </c>
      <c r="AW14">
        <v>2</v>
      </c>
      <c r="AX14">
        <v>44571410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2.0749679999999993</v>
      </c>
      <c r="CY14">
        <f>AD14</f>
        <v>239.83</v>
      </c>
      <c r="CZ14">
        <f>AH14</f>
        <v>8.29</v>
      </c>
      <c r="DA14">
        <f>AL14</f>
        <v>28.93</v>
      </c>
      <c r="DB14">
        <f t="shared" si="3"/>
        <v>143.34</v>
      </c>
      <c r="DC14">
        <f t="shared" si="4"/>
        <v>0</v>
      </c>
    </row>
    <row r="15" spans="1:107" ht="12.75">
      <c r="A15">
        <f>ROW(Source!A34)</f>
        <v>34</v>
      </c>
      <c r="B15">
        <v>44571020</v>
      </c>
      <c r="C15">
        <v>44571405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28</v>
      </c>
      <c r="K15" t="s">
        <v>446</v>
      </c>
      <c r="L15">
        <v>608254</v>
      </c>
      <c r="N15">
        <v>1013</v>
      </c>
      <c r="O15" t="s">
        <v>447</v>
      </c>
      <c r="P15" t="s">
        <v>447</v>
      </c>
      <c r="Q15">
        <v>1</v>
      </c>
      <c r="W15">
        <v>0</v>
      </c>
      <c r="X15">
        <v>-185737400</v>
      </c>
      <c r="Y15">
        <v>4.195199999999999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28.93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3.04</v>
      </c>
      <c r="AU15" t="s">
        <v>22</v>
      </c>
      <c r="AV15">
        <v>2</v>
      </c>
      <c r="AW15">
        <v>2</v>
      </c>
      <c r="AX15">
        <v>44571411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0.5034239999999999</v>
      </c>
      <c r="CY15">
        <f>AD15</f>
        <v>0</v>
      </c>
      <c r="CZ15">
        <f>AH15</f>
        <v>0</v>
      </c>
      <c r="DA15">
        <f>AL15</f>
        <v>1</v>
      </c>
      <c r="DB15">
        <f t="shared" si="3"/>
        <v>0</v>
      </c>
      <c r="DC15">
        <f t="shared" si="4"/>
        <v>0</v>
      </c>
    </row>
    <row r="16" spans="1:107" ht="12.75">
      <c r="A16">
        <f>ROW(Source!A34)</f>
        <v>34</v>
      </c>
      <c r="B16">
        <v>44571020</v>
      </c>
      <c r="C16">
        <v>44571405</v>
      </c>
      <c r="D16">
        <v>13902095</v>
      </c>
      <c r="E16">
        <v>1</v>
      </c>
      <c r="F16">
        <v>1</v>
      </c>
      <c r="G16">
        <v>1</v>
      </c>
      <c r="H16">
        <v>2</v>
      </c>
      <c r="I16" t="s">
        <v>459</v>
      </c>
      <c r="J16" t="s">
        <v>460</v>
      </c>
      <c r="K16" t="s">
        <v>461</v>
      </c>
      <c r="L16">
        <v>1368</v>
      </c>
      <c r="N16">
        <v>1011</v>
      </c>
      <c r="O16" t="s">
        <v>453</v>
      </c>
      <c r="P16" t="s">
        <v>453</v>
      </c>
      <c r="Q16">
        <v>1</v>
      </c>
      <c r="W16">
        <v>0</v>
      </c>
      <c r="X16">
        <v>-1349962571</v>
      </c>
      <c r="Y16">
        <v>4.195199999999999</v>
      </c>
      <c r="AA16">
        <v>0</v>
      </c>
      <c r="AB16">
        <v>805.5</v>
      </c>
      <c r="AC16">
        <v>282.94</v>
      </c>
      <c r="AD16">
        <v>0</v>
      </c>
      <c r="AE16">
        <v>0</v>
      </c>
      <c r="AF16">
        <v>104.34</v>
      </c>
      <c r="AG16">
        <v>9.78</v>
      </c>
      <c r="AH16">
        <v>0</v>
      </c>
      <c r="AI16">
        <v>1</v>
      </c>
      <c r="AJ16">
        <v>7.72</v>
      </c>
      <c r="AK16">
        <v>28.93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3.04</v>
      </c>
      <c r="AU16" t="s">
        <v>22</v>
      </c>
      <c r="AV16">
        <v>0</v>
      </c>
      <c r="AW16">
        <v>2</v>
      </c>
      <c r="AX16">
        <v>44571412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Y16*Source!I34</f>
        <v>0.5034239999999999</v>
      </c>
      <c r="CY16">
        <f>AB16</f>
        <v>805.5</v>
      </c>
      <c r="CZ16">
        <f>AF16</f>
        <v>104.34</v>
      </c>
      <c r="DA16">
        <f>AJ16</f>
        <v>7.72</v>
      </c>
      <c r="DB16">
        <f t="shared" si="3"/>
        <v>437.72</v>
      </c>
      <c r="DC16">
        <f t="shared" si="4"/>
        <v>41.03</v>
      </c>
    </row>
    <row r="17" spans="1:107" ht="12.75">
      <c r="A17">
        <f>ROW(Source!A34)</f>
        <v>34</v>
      </c>
      <c r="B17">
        <v>44571020</v>
      </c>
      <c r="C17">
        <v>44571405</v>
      </c>
      <c r="D17">
        <v>13903869</v>
      </c>
      <c r="E17">
        <v>1</v>
      </c>
      <c r="F17">
        <v>1</v>
      </c>
      <c r="G17">
        <v>1</v>
      </c>
      <c r="H17">
        <v>2</v>
      </c>
      <c r="I17" t="s">
        <v>462</v>
      </c>
      <c r="J17" t="s">
        <v>463</v>
      </c>
      <c r="K17" t="s">
        <v>464</v>
      </c>
      <c r="L17">
        <v>1368</v>
      </c>
      <c r="N17">
        <v>1011</v>
      </c>
      <c r="O17" t="s">
        <v>453</v>
      </c>
      <c r="P17" t="s">
        <v>453</v>
      </c>
      <c r="Q17">
        <v>1</v>
      </c>
      <c r="W17">
        <v>0</v>
      </c>
      <c r="X17">
        <v>-761623881</v>
      </c>
      <c r="Y17">
        <v>16.8084</v>
      </c>
      <c r="AA17">
        <v>0</v>
      </c>
      <c r="AB17">
        <v>4.86</v>
      </c>
      <c r="AC17">
        <v>0</v>
      </c>
      <c r="AD17">
        <v>0</v>
      </c>
      <c r="AE17">
        <v>0</v>
      </c>
      <c r="AF17">
        <v>0.63</v>
      </c>
      <c r="AG17">
        <v>0</v>
      </c>
      <c r="AH17">
        <v>0</v>
      </c>
      <c r="AI17">
        <v>1</v>
      </c>
      <c r="AJ17">
        <v>7.72</v>
      </c>
      <c r="AK17">
        <v>28.93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12.18</v>
      </c>
      <c r="AU17" t="s">
        <v>22</v>
      </c>
      <c r="AV17">
        <v>0</v>
      </c>
      <c r="AW17">
        <v>2</v>
      </c>
      <c r="AX17">
        <v>44571413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Y17*Source!I34</f>
        <v>2.0170079999999997</v>
      </c>
      <c r="CY17">
        <f>AB17</f>
        <v>4.86</v>
      </c>
      <c r="CZ17">
        <f>AF17</f>
        <v>0.63</v>
      </c>
      <c r="DA17">
        <f>AJ17</f>
        <v>7.72</v>
      </c>
      <c r="DB17">
        <f t="shared" si="3"/>
        <v>10.58</v>
      </c>
      <c r="DC17">
        <f t="shared" si="4"/>
        <v>0</v>
      </c>
    </row>
    <row r="18" spans="1:107" ht="12.75">
      <c r="A18">
        <f>ROW(Source!A35)</f>
        <v>35</v>
      </c>
      <c r="B18">
        <v>44571020</v>
      </c>
      <c r="C18">
        <v>44571414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28</v>
      </c>
      <c r="K18" t="s">
        <v>446</v>
      </c>
      <c r="L18">
        <v>608254</v>
      </c>
      <c r="N18">
        <v>1013</v>
      </c>
      <c r="O18" t="s">
        <v>447</v>
      </c>
      <c r="P18" t="s">
        <v>447</v>
      </c>
      <c r="Q18">
        <v>1</v>
      </c>
      <c r="W18">
        <v>0</v>
      </c>
      <c r="X18">
        <v>-185737400</v>
      </c>
      <c r="Y18">
        <v>0.029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28.93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0.029</v>
      </c>
      <c r="AV18">
        <v>2</v>
      </c>
      <c r="AW18">
        <v>2</v>
      </c>
      <c r="AX18">
        <v>44571417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Y18*Source!I35</f>
        <v>0.33814</v>
      </c>
      <c r="CY18">
        <f>AD18</f>
        <v>0</v>
      </c>
      <c r="CZ18">
        <f>AH18</f>
        <v>0</v>
      </c>
      <c r="DA18">
        <f>AL18</f>
        <v>1</v>
      </c>
      <c r="DB18">
        <f>ROUND(ROUND(AT18*CZ18,2),2)</f>
        <v>0</v>
      </c>
      <c r="DC18">
        <f>ROUND(ROUND(AT18*AG18,2),2)</f>
        <v>0</v>
      </c>
    </row>
    <row r="19" spans="1:107" ht="12.75">
      <c r="A19">
        <f>ROW(Source!A35)</f>
        <v>35</v>
      </c>
      <c r="B19">
        <v>44571020</v>
      </c>
      <c r="C19">
        <v>44571414</v>
      </c>
      <c r="D19">
        <v>13902139</v>
      </c>
      <c r="E19">
        <v>1</v>
      </c>
      <c r="F19">
        <v>1</v>
      </c>
      <c r="G19">
        <v>1</v>
      </c>
      <c r="H19">
        <v>2</v>
      </c>
      <c r="I19" t="s">
        <v>465</v>
      </c>
      <c r="J19" t="s">
        <v>466</v>
      </c>
      <c r="K19" t="s">
        <v>467</v>
      </c>
      <c r="L19">
        <v>1368</v>
      </c>
      <c r="N19">
        <v>1011</v>
      </c>
      <c r="O19" t="s">
        <v>453</v>
      </c>
      <c r="P19" t="s">
        <v>453</v>
      </c>
      <c r="Q19">
        <v>1</v>
      </c>
      <c r="W19">
        <v>0</v>
      </c>
      <c r="X19">
        <v>-1066956003</v>
      </c>
      <c r="Y19">
        <v>0.029</v>
      </c>
      <c r="AA19">
        <v>0</v>
      </c>
      <c r="AB19">
        <v>1092.84</v>
      </c>
      <c r="AC19">
        <v>379.56</v>
      </c>
      <c r="AD19">
        <v>0</v>
      </c>
      <c r="AE19">
        <v>0</v>
      </c>
      <c r="AF19">
        <v>141.56</v>
      </c>
      <c r="AG19">
        <v>13.12</v>
      </c>
      <c r="AH19">
        <v>0</v>
      </c>
      <c r="AI19">
        <v>1</v>
      </c>
      <c r="AJ19">
        <v>7.72</v>
      </c>
      <c r="AK19">
        <v>28.93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0.029</v>
      </c>
      <c r="AV19">
        <v>0</v>
      </c>
      <c r="AW19">
        <v>2</v>
      </c>
      <c r="AX19">
        <v>44571418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Y19*Source!I35</f>
        <v>0.33814</v>
      </c>
      <c r="CY19">
        <f>AB19</f>
        <v>1092.84</v>
      </c>
      <c r="CZ19">
        <f>AF19</f>
        <v>141.56</v>
      </c>
      <c r="DA19">
        <f>AJ19</f>
        <v>7.72</v>
      </c>
      <c r="DB19">
        <f>ROUND(ROUND(AT19*CZ19,2),2)</f>
        <v>4.11</v>
      </c>
      <c r="DC19">
        <f>ROUND(ROUND(AT19*AG19,2),2)</f>
        <v>0.38</v>
      </c>
    </row>
    <row r="20" spans="1:107" ht="12.75">
      <c r="A20">
        <f>ROW(Source!A37)</f>
        <v>37</v>
      </c>
      <c r="B20">
        <v>44571020</v>
      </c>
      <c r="C20">
        <v>44571420</v>
      </c>
      <c r="D20">
        <v>9914981</v>
      </c>
      <c r="E20">
        <v>1</v>
      </c>
      <c r="F20">
        <v>1</v>
      </c>
      <c r="G20">
        <v>1</v>
      </c>
      <c r="H20">
        <v>1</v>
      </c>
      <c r="I20" t="s">
        <v>468</v>
      </c>
      <c r="K20" t="s">
        <v>469</v>
      </c>
      <c r="L20">
        <v>1191</v>
      </c>
      <c r="N20">
        <v>1013</v>
      </c>
      <c r="O20" t="s">
        <v>445</v>
      </c>
      <c r="P20" t="s">
        <v>445</v>
      </c>
      <c r="Q20">
        <v>1</v>
      </c>
      <c r="W20">
        <v>0</v>
      </c>
      <c r="X20">
        <v>-1667003542</v>
      </c>
      <c r="Y20">
        <v>310.55519999999996</v>
      </c>
      <c r="AA20">
        <v>0</v>
      </c>
      <c r="AB20">
        <v>0</v>
      </c>
      <c r="AC20">
        <v>0</v>
      </c>
      <c r="AD20">
        <v>261.24</v>
      </c>
      <c r="AE20">
        <v>0</v>
      </c>
      <c r="AF20">
        <v>0</v>
      </c>
      <c r="AG20">
        <v>0</v>
      </c>
      <c r="AH20">
        <v>9.03</v>
      </c>
      <c r="AI20">
        <v>1</v>
      </c>
      <c r="AJ20">
        <v>1</v>
      </c>
      <c r="AK20">
        <v>1</v>
      </c>
      <c r="AL20">
        <v>28.93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225.04</v>
      </c>
      <c r="AU20" t="s">
        <v>22</v>
      </c>
      <c r="AV20">
        <v>1</v>
      </c>
      <c r="AW20">
        <v>2</v>
      </c>
      <c r="AX20">
        <v>44571431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Y20*Source!I37</f>
        <v>8.074435199999998</v>
      </c>
      <c r="CY20">
        <f>AD20</f>
        <v>261.24</v>
      </c>
      <c r="CZ20">
        <f>AH20</f>
        <v>9.03</v>
      </c>
      <c r="DA20">
        <f>AL20</f>
        <v>28.93</v>
      </c>
      <c r="DB20">
        <f aca="true" t="shared" si="5" ref="DB20:DB26">ROUND((ROUND(AT20*CZ20,2)*ROUND((1.2*1.15),7)),2)</f>
        <v>2804.31</v>
      </c>
      <c r="DC20">
        <f aca="true" t="shared" si="6" ref="DC20:DC26">ROUND((ROUND(AT20*AG20,2)*ROUND((1.2*1.15),7)),2)</f>
        <v>0</v>
      </c>
    </row>
    <row r="21" spans="1:107" ht="12.75">
      <c r="A21">
        <f>ROW(Source!A37)</f>
        <v>37</v>
      </c>
      <c r="B21">
        <v>44571020</v>
      </c>
      <c r="C21">
        <v>44571420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28</v>
      </c>
      <c r="K21" t="s">
        <v>446</v>
      </c>
      <c r="L21">
        <v>608254</v>
      </c>
      <c r="N21">
        <v>1013</v>
      </c>
      <c r="O21" t="s">
        <v>447</v>
      </c>
      <c r="P21" t="s">
        <v>447</v>
      </c>
      <c r="Q21">
        <v>1</v>
      </c>
      <c r="W21">
        <v>0</v>
      </c>
      <c r="X21">
        <v>-185737400</v>
      </c>
      <c r="Y21">
        <v>41.78639999999999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28.93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30.28</v>
      </c>
      <c r="AU21" t="s">
        <v>22</v>
      </c>
      <c r="AV21">
        <v>2</v>
      </c>
      <c r="AW21">
        <v>2</v>
      </c>
      <c r="AX21">
        <v>44571432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Y21*Source!I37</f>
        <v>1.0864463999999998</v>
      </c>
      <c r="CY21">
        <f>AD21</f>
        <v>0</v>
      </c>
      <c r="CZ21">
        <f>AH21</f>
        <v>0</v>
      </c>
      <c r="DA21">
        <f>AL21</f>
        <v>1</v>
      </c>
      <c r="DB21">
        <f t="shared" si="5"/>
        <v>0</v>
      </c>
      <c r="DC21">
        <f t="shared" si="6"/>
        <v>0</v>
      </c>
    </row>
    <row r="22" spans="1:107" ht="12.75">
      <c r="A22">
        <f>ROW(Source!A37)</f>
        <v>37</v>
      </c>
      <c r="B22">
        <v>44571020</v>
      </c>
      <c r="C22">
        <v>44571420</v>
      </c>
      <c r="D22">
        <v>13901800</v>
      </c>
      <c r="E22">
        <v>1</v>
      </c>
      <c r="F22">
        <v>1</v>
      </c>
      <c r="G22">
        <v>1</v>
      </c>
      <c r="H22">
        <v>2</v>
      </c>
      <c r="I22" t="s">
        <v>470</v>
      </c>
      <c r="J22" t="s">
        <v>471</v>
      </c>
      <c r="K22" t="s">
        <v>472</v>
      </c>
      <c r="L22">
        <v>1368</v>
      </c>
      <c r="N22">
        <v>1011</v>
      </c>
      <c r="O22" t="s">
        <v>453</v>
      </c>
      <c r="P22" t="s">
        <v>453</v>
      </c>
      <c r="Q22">
        <v>1</v>
      </c>
      <c r="W22">
        <v>0</v>
      </c>
      <c r="X22">
        <v>1248323946</v>
      </c>
      <c r="Y22">
        <v>0.48299999999999993</v>
      </c>
      <c r="AA22">
        <v>0</v>
      </c>
      <c r="AB22">
        <v>985.54</v>
      </c>
      <c r="AC22">
        <v>379.56</v>
      </c>
      <c r="AD22">
        <v>0</v>
      </c>
      <c r="AE22">
        <v>0</v>
      </c>
      <c r="AF22">
        <v>127.66</v>
      </c>
      <c r="AG22">
        <v>13.12</v>
      </c>
      <c r="AH22">
        <v>0</v>
      </c>
      <c r="AI22">
        <v>1</v>
      </c>
      <c r="AJ22">
        <v>7.72</v>
      </c>
      <c r="AK22">
        <v>28.93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0.35</v>
      </c>
      <c r="AU22" t="s">
        <v>22</v>
      </c>
      <c r="AV22">
        <v>0</v>
      </c>
      <c r="AW22">
        <v>2</v>
      </c>
      <c r="AX22">
        <v>44571433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Y22*Source!I37</f>
        <v>0.012557999999999998</v>
      </c>
      <c r="CY22">
        <f>AB22</f>
        <v>985.54</v>
      </c>
      <c r="CZ22">
        <f>AF22</f>
        <v>127.66</v>
      </c>
      <c r="DA22">
        <f>AJ22</f>
        <v>7.72</v>
      </c>
      <c r="DB22">
        <f t="shared" si="5"/>
        <v>61.66</v>
      </c>
      <c r="DC22">
        <f t="shared" si="6"/>
        <v>6.33</v>
      </c>
    </row>
    <row r="23" spans="1:107" ht="12.75">
      <c r="A23">
        <f>ROW(Source!A37)</f>
        <v>37</v>
      </c>
      <c r="B23">
        <v>44571020</v>
      </c>
      <c r="C23">
        <v>44571420</v>
      </c>
      <c r="D23">
        <v>13902030</v>
      </c>
      <c r="E23">
        <v>1</v>
      </c>
      <c r="F23">
        <v>1</v>
      </c>
      <c r="G23">
        <v>1</v>
      </c>
      <c r="H23">
        <v>2</v>
      </c>
      <c r="I23" t="s">
        <v>473</v>
      </c>
      <c r="J23" t="s">
        <v>474</v>
      </c>
      <c r="K23" t="s">
        <v>475</v>
      </c>
      <c r="L23">
        <v>1368</v>
      </c>
      <c r="N23">
        <v>1011</v>
      </c>
      <c r="O23" t="s">
        <v>453</v>
      </c>
      <c r="P23" t="s">
        <v>453</v>
      </c>
      <c r="Q23">
        <v>1</v>
      </c>
      <c r="W23">
        <v>0</v>
      </c>
      <c r="X23">
        <v>1515030893</v>
      </c>
      <c r="Y23">
        <v>1.9181999999999997</v>
      </c>
      <c r="AA23">
        <v>0</v>
      </c>
      <c r="AB23">
        <v>236.93</v>
      </c>
      <c r="AC23">
        <v>326.33</v>
      </c>
      <c r="AD23">
        <v>0</v>
      </c>
      <c r="AE23">
        <v>0</v>
      </c>
      <c r="AF23">
        <v>30.69</v>
      </c>
      <c r="AG23">
        <v>11.28</v>
      </c>
      <c r="AH23">
        <v>0</v>
      </c>
      <c r="AI23">
        <v>1</v>
      </c>
      <c r="AJ23">
        <v>7.72</v>
      </c>
      <c r="AK23">
        <v>28.93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1.39</v>
      </c>
      <c r="AU23" t="s">
        <v>22</v>
      </c>
      <c r="AV23">
        <v>0</v>
      </c>
      <c r="AW23">
        <v>2</v>
      </c>
      <c r="AX23">
        <v>44571434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Y23*Source!I37</f>
        <v>0.04987319999999999</v>
      </c>
      <c r="CY23">
        <f>AB23</f>
        <v>236.93</v>
      </c>
      <c r="CZ23">
        <f>AF23</f>
        <v>30.69</v>
      </c>
      <c r="DA23">
        <f>AJ23</f>
        <v>7.72</v>
      </c>
      <c r="DB23">
        <f t="shared" si="5"/>
        <v>58.87</v>
      </c>
      <c r="DC23">
        <f t="shared" si="6"/>
        <v>21.64</v>
      </c>
    </row>
    <row r="24" spans="1:107" ht="12.75">
      <c r="A24">
        <f>ROW(Source!A37)</f>
        <v>37</v>
      </c>
      <c r="B24">
        <v>44571020</v>
      </c>
      <c r="C24">
        <v>44571420</v>
      </c>
      <c r="D24">
        <v>13902093</v>
      </c>
      <c r="E24">
        <v>1</v>
      </c>
      <c r="F24">
        <v>1</v>
      </c>
      <c r="G24">
        <v>1</v>
      </c>
      <c r="H24">
        <v>2</v>
      </c>
      <c r="I24" t="s">
        <v>476</v>
      </c>
      <c r="J24" t="s">
        <v>477</v>
      </c>
      <c r="K24" t="s">
        <v>478</v>
      </c>
      <c r="L24">
        <v>1368</v>
      </c>
      <c r="N24">
        <v>1011</v>
      </c>
      <c r="O24" t="s">
        <v>453</v>
      </c>
      <c r="P24" t="s">
        <v>453</v>
      </c>
      <c r="Q24">
        <v>1</v>
      </c>
      <c r="W24">
        <v>0</v>
      </c>
      <c r="X24">
        <v>-803468359</v>
      </c>
      <c r="Y24">
        <v>16.56</v>
      </c>
      <c r="AA24">
        <v>0</v>
      </c>
      <c r="AB24">
        <v>276.84</v>
      </c>
      <c r="AC24">
        <v>0</v>
      </c>
      <c r="AD24">
        <v>0</v>
      </c>
      <c r="AE24">
        <v>0</v>
      </c>
      <c r="AF24">
        <v>35.86</v>
      </c>
      <c r="AG24">
        <v>0</v>
      </c>
      <c r="AH24">
        <v>0</v>
      </c>
      <c r="AI24">
        <v>1</v>
      </c>
      <c r="AJ24">
        <v>7.72</v>
      </c>
      <c r="AK24">
        <v>28.93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12</v>
      </c>
      <c r="AU24" t="s">
        <v>22</v>
      </c>
      <c r="AV24">
        <v>0</v>
      </c>
      <c r="AW24">
        <v>2</v>
      </c>
      <c r="AX24">
        <v>44571435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Y24*Source!I37</f>
        <v>0.43055999999999994</v>
      </c>
      <c r="CY24">
        <f>AB24</f>
        <v>276.84</v>
      </c>
      <c r="CZ24">
        <f>AF24</f>
        <v>35.86</v>
      </c>
      <c r="DA24">
        <f>AJ24</f>
        <v>7.72</v>
      </c>
      <c r="DB24">
        <f t="shared" si="5"/>
        <v>593.84</v>
      </c>
      <c r="DC24">
        <f t="shared" si="6"/>
        <v>0</v>
      </c>
    </row>
    <row r="25" spans="1:107" ht="12.75">
      <c r="A25">
        <f>ROW(Source!A37)</f>
        <v>37</v>
      </c>
      <c r="B25">
        <v>44571020</v>
      </c>
      <c r="C25">
        <v>44571420</v>
      </c>
      <c r="D25">
        <v>13902290</v>
      </c>
      <c r="E25">
        <v>1</v>
      </c>
      <c r="F25">
        <v>1</v>
      </c>
      <c r="G25">
        <v>1</v>
      </c>
      <c r="H25">
        <v>2</v>
      </c>
      <c r="I25" t="s">
        <v>479</v>
      </c>
      <c r="J25" t="s">
        <v>480</v>
      </c>
      <c r="K25" t="s">
        <v>481</v>
      </c>
      <c r="L25">
        <v>1368</v>
      </c>
      <c r="N25">
        <v>1011</v>
      </c>
      <c r="O25" t="s">
        <v>453</v>
      </c>
      <c r="P25" t="s">
        <v>453</v>
      </c>
      <c r="Q25">
        <v>1</v>
      </c>
      <c r="W25">
        <v>0</v>
      </c>
      <c r="X25">
        <v>-7484068</v>
      </c>
      <c r="Y25">
        <v>39.3852</v>
      </c>
      <c r="AA25">
        <v>0</v>
      </c>
      <c r="AB25">
        <v>844.49</v>
      </c>
      <c r="AC25">
        <v>379.56</v>
      </c>
      <c r="AD25">
        <v>0</v>
      </c>
      <c r="AE25">
        <v>0</v>
      </c>
      <c r="AF25">
        <v>109.39</v>
      </c>
      <c r="AG25">
        <v>13.12</v>
      </c>
      <c r="AH25">
        <v>0</v>
      </c>
      <c r="AI25">
        <v>1</v>
      </c>
      <c r="AJ25">
        <v>7.72</v>
      </c>
      <c r="AK25">
        <v>28.93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28.54</v>
      </c>
      <c r="AU25" t="s">
        <v>22</v>
      </c>
      <c r="AV25">
        <v>0</v>
      </c>
      <c r="AW25">
        <v>2</v>
      </c>
      <c r="AX25">
        <v>44571436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Y25*Source!I37</f>
        <v>1.0240151999999998</v>
      </c>
      <c r="CY25">
        <f>AB25</f>
        <v>844.49</v>
      </c>
      <c r="CZ25">
        <f>AF25</f>
        <v>109.39</v>
      </c>
      <c r="DA25">
        <f>AJ25</f>
        <v>7.72</v>
      </c>
      <c r="DB25">
        <f t="shared" si="5"/>
        <v>4308.35</v>
      </c>
      <c r="DC25">
        <f t="shared" si="6"/>
        <v>516.73</v>
      </c>
    </row>
    <row r="26" spans="1:107" ht="12.75">
      <c r="A26">
        <f>ROW(Source!A37)</f>
        <v>37</v>
      </c>
      <c r="B26">
        <v>44571020</v>
      </c>
      <c r="C26">
        <v>44571420</v>
      </c>
      <c r="D26">
        <v>13904227</v>
      </c>
      <c r="E26">
        <v>1</v>
      </c>
      <c r="F26">
        <v>1</v>
      </c>
      <c r="G26">
        <v>1</v>
      </c>
      <c r="H26">
        <v>2</v>
      </c>
      <c r="I26" t="s">
        <v>482</v>
      </c>
      <c r="J26" t="s">
        <v>483</v>
      </c>
      <c r="K26" t="s">
        <v>484</v>
      </c>
      <c r="L26">
        <v>1368</v>
      </c>
      <c r="N26">
        <v>1011</v>
      </c>
      <c r="O26" t="s">
        <v>453</v>
      </c>
      <c r="P26" t="s">
        <v>453</v>
      </c>
      <c r="Q26">
        <v>1</v>
      </c>
      <c r="W26">
        <v>0</v>
      </c>
      <c r="X26">
        <v>1849659131</v>
      </c>
      <c r="Y26">
        <v>0.7175999999999999</v>
      </c>
      <c r="AA26">
        <v>0</v>
      </c>
      <c r="AB26">
        <v>623.39</v>
      </c>
      <c r="AC26">
        <v>0</v>
      </c>
      <c r="AD26">
        <v>0</v>
      </c>
      <c r="AE26">
        <v>0</v>
      </c>
      <c r="AF26">
        <v>80.75</v>
      </c>
      <c r="AG26">
        <v>0</v>
      </c>
      <c r="AH26">
        <v>0</v>
      </c>
      <c r="AI26">
        <v>1</v>
      </c>
      <c r="AJ26">
        <v>7.72</v>
      </c>
      <c r="AK26">
        <v>28.93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0.52</v>
      </c>
      <c r="AU26" t="s">
        <v>22</v>
      </c>
      <c r="AV26">
        <v>0</v>
      </c>
      <c r="AW26">
        <v>2</v>
      </c>
      <c r="AX26">
        <v>44571437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Y26*Source!I37</f>
        <v>0.018657599999999996</v>
      </c>
      <c r="CY26">
        <f>AB26</f>
        <v>623.39</v>
      </c>
      <c r="CZ26">
        <f>AF26</f>
        <v>80.75</v>
      </c>
      <c r="DA26">
        <f>AJ26</f>
        <v>7.72</v>
      </c>
      <c r="DB26">
        <f t="shared" si="5"/>
        <v>57.95</v>
      </c>
      <c r="DC26">
        <f t="shared" si="6"/>
        <v>0</v>
      </c>
    </row>
    <row r="27" spans="1:107" ht="12.75">
      <c r="A27">
        <f>ROW(Source!A37)</f>
        <v>37</v>
      </c>
      <c r="B27">
        <v>44571020</v>
      </c>
      <c r="C27">
        <v>44571420</v>
      </c>
      <c r="D27">
        <v>13907450</v>
      </c>
      <c r="E27">
        <v>1</v>
      </c>
      <c r="F27">
        <v>1</v>
      </c>
      <c r="G27">
        <v>1</v>
      </c>
      <c r="H27">
        <v>3</v>
      </c>
      <c r="I27" t="s">
        <v>485</v>
      </c>
      <c r="J27" t="s">
        <v>486</v>
      </c>
      <c r="K27" t="s">
        <v>487</v>
      </c>
      <c r="L27">
        <v>1327</v>
      </c>
      <c r="N27">
        <v>1005</v>
      </c>
      <c r="O27" t="s">
        <v>488</v>
      </c>
      <c r="P27" t="s">
        <v>488</v>
      </c>
      <c r="Q27">
        <v>1</v>
      </c>
      <c r="W27">
        <v>0</v>
      </c>
      <c r="X27">
        <v>2027704445</v>
      </c>
      <c r="Y27">
        <v>0.44</v>
      </c>
      <c r="AA27">
        <v>38.16</v>
      </c>
      <c r="AB27">
        <v>0</v>
      </c>
      <c r="AC27">
        <v>0</v>
      </c>
      <c r="AD27">
        <v>0</v>
      </c>
      <c r="AE27">
        <v>7.41</v>
      </c>
      <c r="AF27">
        <v>0</v>
      </c>
      <c r="AG27">
        <v>0</v>
      </c>
      <c r="AH27">
        <v>0</v>
      </c>
      <c r="AI27">
        <v>5.15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0.44</v>
      </c>
      <c r="AV27">
        <v>0</v>
      </c>
      <c r="AW27">
        <v>2</v>
      </c>
      <c r="AX27">
        <v>44571438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0.011439999999999999</v>
      </c>
      <c r="CY27">
        <f>AA27</f>
        <v>38.16</v>
      </c>
      <c r="CZ27">
        <f>AE27</f>
        <v>7.41</v>
      </c>
      <c r="DA27">
        <f>AI27</f>
        <v>5.15</v>
      </c>
      <c r="DB27">
        <f>ROUND(ROUND(AT27*CZ27,2),2)</f>
        <v>3.26</v>
      </c>
      <c r="DC27">
        <f>ROUND(ROUND(AT27*AG27,2),2)</f>
        <v>0</v>
      </c>
    </row>
    <row r="28" spans="1:107" ht="12.75">
      <c r="A28">
        <f>ROW(Source!A37)</f>
        <v>37</v>
      </c>
      <c r="B28">
        <v>44571020</v>
      </c>
      <c r="C28">
        <v>44571420</v>
      </c>
      <c r="D28">
        <v>13985061</v>
      </c>
      <c r="E28">
        <v>1</v>
      </c>
      <c r="F28">
        <v>1</v>
      </c>
      <c r="G28">
        <v>1</v>
      </c>
      <c r="H28">
        <v>3</v>
      </c>
      <c r="I28" t="s">
        <v>489</v>
      </c>
      <c r="J28" t="s">
        <v>490</v>
      </c>
      <c r="K28" t="s">
        <v>491</v>
      </c>
      <c r="L28">
        <v>1339</v>
      </c>
      <c r="N28">
        <v>1007</v>
      </c>
      <c r="O28" t="s">
        <v>283</v>
      </c>
      <c r="P28" t="s">
        <v>283</v>
      </c>
      <c r="Q28">
        <v>1</v>
      </c>
      <c r="W28">
        <v>0</v>
      </c>
      <c r="X28">
        <v>-129011492</v>
      </c>
      <c r="Y28">
        <v>18</v>
      </c>
      <c r="AA28">
        <v>32.45</v>
      </c>
      <c r="AB28">
        <v>0</v>
      </c>
      <c r="AC28">
        <v>0</v>
      </c>
      <c r="AD28">
        <v>0</v>
      </c>
      <c r="AE28">
        <v>6.3</v>
      </c>
      <c r="AF28">
        <v>0</v>
      </c>
      <c r="AG28">
        <v>0</v>
      </c>
      <c r="AH28">
        <v>0</v>
      </c>
      <c r="AI28">
        <v>5.15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18</v>
      </c>
      <c r="AV28">
        <v>0</v>
      </c>
      <c r="AW28">
        <v>2</v>
      </c>
      <c r="AX28">
        <v>44571439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0.46799999999999997</v>
      </c>
      <c r="CY28">
        <f>AA28</f>
        <v>32.45</v>
      </c>
      <c r="CZ28">
        <f>AE28</f>
        <v>6.3</v>
      </c>
      <c r="DA28">
        <f>AI28</f>
        <v>5.15</v>
      </c>
      <c r="DB28">
        <f>ROUND(ROUND(AT28*CZ28,2),2)</f>
        <v>113.4</v>
      </c>
      <c r="DC28">
        <f>ROUND(ROUND(AT28*AG28,2),2)</f>
        <v>0</v>
      </c>
    </row>
    <row r="29" spans="1:107" ht="12.75">
      <c r="A29">
        <f>ROW(Source!A37)</f>
        <v>37</v>
      </c>
      <c r="B29">
        <v>44571020</v>
      </c>
      <c r="C29">
        <v>44571420</v>
      </c>
      <c r="D29">
        <v>13999039</v>
      </c>
      <c r="E29">
        <v>1</v>
      </c>
      <c r="F29">
        <v>1</v>
      </c>
      <c r="G29">
        <v>1</v>
      </c>
      <c r="H29">
        <v>3</v>
      </c>
      <c r="I29" t="s">
        <v>492</v>
      </c>
      <c r="J29" t="s">
        <v>493</v>
      </c>
      <c r="K29" t="s">
        <v>494</v>
      </c>
      <c r="L29">
        <v>1302</v>
      </c>
      <c r="N29">
        <v>1003</v>
      </c>
      <c r="O29" t="s">
        <v>248</v>
      </c>
      <c r="P29" t="s">
        <v>248</v>
      </c>
      <c r="Q29">
        <v>10</v>
      </c>
      <c r="W29">
        <v>0</v>
      </c>
      <c r="X29">
        <v>251304380</v>
      </c>
      <c r="Y29">
        <v>101</v>
      </c>
      <c r="AA29">
        <v>3873.93</v>
      </c>
      <c r="AB29">
        <v>0</v>
      </c>
      <c r="AC29">
        <v>0</v>
      </c>
      <c r="AD29">
        <v>0</v>
      </c>
      <c r="AE29">
        <v>752.22</v>
      </c>
      <c r="AF29">
        <v>0</v>
      </c>
      <c r="AG29">
        <v>0</v>
      </c>
      <c r="AH29">
        <v>0</v>
      </c>
      <c r="AI29">
        <v>5.15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101</v>
      </c>
      <c r="AV29">
        <v>0</v>
      </c>
      <c r="AW29">
        <v>2</v>
      </c>
      <c r="AX29">
        <v>44571440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2.626</v>
      </c>
      <c r="CY29">
        <f>AA29</f>
        <v>3873.93</v>
      </c>
      <c r="CZ29">
        <f>AE29</f>
        <v>752.22</v>
      </c>
      <c r="DA29">
        <f>AI29</f>
        <v>5.15</v>
      </c>
      <c r="DB29">
        <f>ROUND(ROUND(AT29*CZ29,2),2)</f>
        <v>75974.22</v>
      </c>
      <c r="DC29">
        <f>ROUND(ROUND(AT29*AG29,2),2)</f>
        <v>0</v>
      </c>
    </row>
    <row r="30" spans="1:107" ht="12.75">
      <c r="A30">
        <f>ROW(Source!A38)</f>
        <v>38</v>
      </c>
      <c r="B30">
        <v>44571020</v>
      </c>
      <c r="C30">
        <v>44571441</v>
      </c>
      <c r="D30">
        <v>9914912</v>
      </c>
      <c r="E30">
        <v>1</v>
      </c>
      <c r="F30">
        <v>1</v>
      </c>
      <c r="G30">
        <v>1</v>
      </c>
      <c r="H30">
        <v>1</v>
      </c>
      <c r="I30" t="s">
        <v>495</v>
      </c>
      <c r="K30" t="s">
        <v>496</v>
      </c>
      <c r="L30">
        <v>1191</v>
      </c>
      <c r="N30">
        <v>1013</v>
      </c>
      <c r="O30" t="s">
        <v>445</v>
      </c>
      <c r="P30" t="s">
        <v>445</v>
      </c>
      <c r="Q30">
        <v>1</v>
      </c>
      <c r="W30">
        <v>0</v>
      </c>
      <c r="X30">
        <v>1394748966</v>
      </c>
      <c r="Y30">
        <v>55.199999999999996</v>
      </c>
      <c r="AA30">
        <v>0</v>
      </c>
      <c r="AB30">
        <v>0</v>
      </c>
      <c r="AC30">
        <v>0</v>
      </c>
      <c r="AD30">
        <v>223.34</v>
      </c>
      <c r="AE30">
        <v>0</v>
      </c>
      <c r="AF30">
        <v>0</v>
      </c>
      <c r="AG30">
        <v>0</v>
      </c>
      <c r="AH30">
        <v>7.72</v>
      </c>
      <c r="AI30">
        <v>1</v>
      </c>
      <c r="AJ30">
        <v>1</v>
      </c>
      <c r="AK30">
        <v>1</v>
      </c>
      <c r="AL30">
        <v>28.93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40</v>
      </c>
      <c r="AU30" t="s">
        <v>86</v>
      </c>
      <c r="AV30">
        <v>1</v>
      </c>
      <c r="AW30">
        <v>2</v>
      </c>
      <c r="AX30">
        <v>44571445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Y30*Source!I38</f>
        <v>59.064</v>
      </c>
      <c r="CY30">
        <f>AD30</f>
        <v>223.34</v>
      </c>
      <c r="CZ30">
        <f>AH30</f>
        <v>7.72</v>
      </c>
      <c r="DA30">
        <f>AL30</f>
        <v>28.93</v>
      </c>
      <c r="DB30">
        <f>ROUND((ROUND(AT30*CZ30,2)*ROUND((1.15*1.2),7)),2)</f>
        <v>426.14</v>
      </c>
      <c r="DC30">
        <f>ROUND((ROUND(AT30*AG30,2)*ROUND((1.15*1.2),7)),2)</f>
        <v>0</v>
      </c>
    </row>
    <row r="31" spans="1:107" ht="12.75">
      <c r="A31">
        <f>ROW(Source!A38)</f>
        <v>38</v>
      </c>
      <c r="B31">
        <v>44571020</v>
      </c>
      <c r="C31">
        <v>44571441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28</v>
      </c>
      <c r="K31" t="s">
        <v>446</v>
      </c>
      <c r="L31">
        <v>608254</v>
      </c>
      <c r="N31">
        <v>1013</v>
      </c>
      <c r="O31" t="s">
        <v>447</v>
      </c>
      <c r="P31" t="s">
        <v>447</v>
      </c>
      <c r="Q31">
        <v>1</v>
      </c>
      <c r="W31">
        <v>0</v>
      </c>
      <c r="X31">
        <v>-185737400</v>
      </c>
      <c r="Y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28.93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</v>
      </c>
      <c r="AU31" t="s">
        <v>86</v>
      </c>
      <c r="AV31">
        <v>2</v>
      </c>
      <c r="AW31">
        <v>2</v>
      </c>
      <c r="AX31">
        <v>44571446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Y31*Source!I38</f>
        <v>0</v>
      </c>
      <c r="CY31">
        <f>AD31</f>
        <v>0</v>
      </c>
      <c r="CZ31">
        <f>AH31</f>
        <v>0</v>
      </c>
      <c r="DA31">
        <f>AL31</f>
        <v>1</v>
      </c>
      <c r="DB31">
        <f>ROUND((ROUND(AT31*CZ31,2)*ROUND((1.15*1.2),7)),2)</f>
        <v>0</v>
      </c>
      <c r="DC31">
        <f>ROUND((ROUND(AT31*AG31,2)*ROUND((1.15*1.2),7)),2)</f>
        <v>0</v>
      </c>
    </row>
    <row r="32" spans="1:107" ht="12.75">
      <c r="A32">
        <f>ROW(Source!A38)</f>
        <v>38</v>
      </c>
      <c r="B32">
        <v>44571020</v>
      </c>
      <c r="C32">
        <v>44571441</v>
      </c>
      <c r="D32">
        <v>13984228</v>
      </c>
      <c r="E32">
        <v>1</v>
      </c>
      <c r="F32">
        <v>1</v>
      </c>
      <c r="G32">
        <v>1</v>
      </c>
      <c r="H32">
        <v>3</v>
      </c>
      <c r="I32" t="s">
        <v>497</v>
      </c>
      <c r="J32" t="s">
        <v>498</v>
      </c>
      <c r="K32" t="s">
        <v>499</v>
      </c>
      <c r="L32">
        <v>1339</v>
      </c>
      <c r="N32">
        <v>1007</v>
      </c>
      <c r="O32" t="s">
        <v>283</v>
      </c>
      <c r="P32" t="s">
        <v>283</v>
      </c>
      <c r="Q32">
        <v>1</v>
      </c>
      <c r="W32">
        <v>0</v>
      </c>
      <c r="X32">
        <v>1319867743</v>
      </c>
      <c r="Y32">
        <v>15</v>
      </c>
      <c r="AA32">
        <v>666.26</v>
      </c>
      <c r="AB32">
        <v>0</v>
      </c>
      <c r="AC32">
        <v>0</v>
      </c>
      <c r="AD32">
        <v>0</v>
      </c>
      <c r="AE32">
        <v>129.37</v>
      </c>
      <c r="AF32">
        <v>0</v>
      </c>
      <c r="AG32">
        <v>0</v>
      </c>
      <c r="AH32">
        <v>0</v>
      </c>
      <c r="AI32">
        <v>5.15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15</v>
      </c>
      <c r="AV32">
        <v>0</v>
      </c>
      <c r="AW32">
        <v>2</v>
      </c>
      <c r="AX32">
        <v>44571447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Y32*Source!I38</f>
        <v>16.05</v>
      </c>
      <c r="CY32">
        <f>AA32</f>
        <v>666.26</v>
      </c>
      <c r="CZ32">
        <f>AE32</f>
        <v>129.37</v>
      </c>
      <c r="DA32">
        <f>AI32</f>
        <v>5.15</v>
      </c>
      <c r="DB32">
        <f>ROUND(ROUND(AT32*CZ32,2),2)</f>
        <v>1940.55</v>
      </c>
      <c r="DC32">
        <f>ROUND(ROUND(AT32*AG32,2),2)</f>
        <v>0</v>
      </c>
    </row>
    <row r="33" spans="1:107" ht="12.75">
      <c r="A33">
        <f>ROW(Source!A39)</f>
        <v>39</v>
      </c>
      <c r="B33">
        <v>44571020</v>
      </c>
      <c r="C33">
        <v>44571448</v>
      </c>
      <c r="D33">
        <v>9914912</v>
      </c>
      <c r="E33">
        <v>1</v>
      </c>
      <c r="F33">
        <v>1</v>
      </c>
      <c r="G33">
        <v>1</v>
      </c>
      <c r="H33">
        <v>1</v>
      </c>
      <c r="I33" t="s">
        <v>495</v>
      </c>
      <c r="K33" t="s">
        <v>496</v>
      </c>
      <c r="L33">
        <v>1191</v>
      </c>
      <c r="N33">
        <v>1013</v>
      </c>
      <c r="O33" t="s">
        <v>445</v>
      </c>
      <c r="P33" t="s">
        <v>445</v>
      </c>
      <c r="Q33">
        <v>1</v>
      </c>
      <c r="W33">
        <v>0</v>
      </c>
      <c r="X33">
        <v>1394748966</v>
      </c>
      <c r="Y33">
        <v>7.548599999999999</v>
      </c>
      <c r="AA33">
        <v>0</v>
      </c>
      <c r="AB33">
        <v>0</v>
      </c>
      <c r="AC33">
        <v>0</v>
      </c>
      <c r="AD33">
        <v>223.34</v>
      </c>
      <c r="AE33">
        <v>0</v>
      </c>
      <c r="AF33">
        <v>0</v>
      </c>
      <c r="AG33">
        <v>0</v>
      </c>
      <c r="AH33">
        <v>7.72</v>
      </c>
      <c r="AI33">
        <v>1</v>
      </c>
      <c r="AJ33">
        <v>1</v>
      </c>
      <c r="AK33">
        <v>1</v>
      </c>
      <c r="AL33">
        <v>28.93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5.47</v>
      </c>
      <c r="AU33" t="s">
        <v>22</v>
      </c>
      <c r="AV33">
        <v>1</v>
      </c>
      <c r="AW33">
        <v>2</v>
      </c>
      <c r="AX33">
        <v>44571452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Y33*Source!I39</f>
        <v>-8.077001999999998</v>
      </c>
      <c r="CY33">
        <f>AD33</f>
        <v>223.34</v>
      </c>
      <c r="CZ33">
        <f>AH33</f>
        <v>7.72</v>
      </c>
      <c r="DA33">
        <f>AL33</f>
        <v>28.93</v>
      </c>
      <c r="DB33">
        <f>ROUND((ROUND(AT33*CZ33,2)*ROUND((1.2*1.15),7)),2)</f>
        <v>58.28</v>
      </c>
      <c r="DC33">
        <f>ROUND((ROUND(AT33*AG33,2)*ROUND((1.2*1.15),7)),2)</f>
        <v>0</v>
      </c>
    </row>
    <row r="34" spans="1:107" ht="12.75">
      <c r="A34">
        <f>ROW(Source!A39)</f>
        <v>39</v>
      </c>
      <c r="B34">
        <v>44571020</v>
      </c>
      <c r="C34">
        <v>44571448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28</v>
      </c>
      <c r="K34" t="s">
        <v>446</v>
      </c>
      <c r="L34">
        <v>608254</v>
      </c>
      <c r="N34">
        <v>1013</v>
      </c>
      <c r="O34" t="s">
        <v>447</v>
      </c>
      <c r="P34" t="s">
        <v>447</v>
      </c>
      <c r="Q34">
        <v>1</v>
      </c>
      <c r="W34">
        <v>0</v>
      </c>
      <c r="X34">
        <v>-185737400</v>
      </c>
      <c r="Y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28.93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</v>
      </c>
      <c r="AU34" t="s">
        <v>22</v>
      </c>
      <c r="AV34">
        <v>2</v>
      </c>
      <c r="AW34">
        <v>2</v>
      </c>
      <c r="AX34">
        <v>44571453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Y34*Source!I39</f>
        <v>0</v>
      </c>
      <c r="CY34">
        <f>AD34</f>
        <v>0</v>
      </c>
      <c r="CZ34">
        <f>AH34</f>
        <v>0</v>
      </c>
      <c r="DA34">
        <f>AL34</f>
        <v>1</v>
      </c>
      <c r="DB34">
        <f>ROUND((ROUND(AT34*CZ34,2)*ROUND((1.2*1.15),7)),2)</f>
        <v>0</v>
      </c>
      <c r="DC34">
        <f>ROUND((ROUND(AT34*AG34,2)*ROUND((1.2*1.15),7)),2)</f>
        <v>0</v>
      </c>
    </row>
    <row r="35" spans="1:107" ht="12.75">
      <c r="A35">
        <f>ROW(Source!A39)</f>
        <v>39</v>
      </c>
      <c r="B35">
        <v>44571020</v>
      </c>
      <c r="C35">
        <v>44571448</v>
      </c>
      <c r="D35">
        <v>13984228</v>
      </c>
      <c r="E35">
        <v>1</v>
      </c>
      <c r="F35">
        <v>1</v>
      </c>
      <c r="G35">
        <v>1</v>
      </c>
      <c r="H35">
        <v>3</v>
      </c>
      <c r="I35" t="s">
        <v>497</v>
      </c>
      <c r="J35" t="s">
        <v>498</v>
      </c>
      <c r="K35" t="s">
        <v>499</v>
      </c>
      <c r="L35">
        <v>1339</v>
      </c>
      <c r="N35">
        <v>1007</v>
      </c>
      <c r="O35" t="s">
        <v>283</v>
      </c>
      <c r="P35" t="s">
        <v>283</v>
      </c>
      <c r="Q35">
        <v>1</v>
      </c>
      <c r="W35">
        <v>0</v>
      </c>
      <c r="X35">
        <v>1319867743</v>
      </c>
      <c r="Y35">
        <v>5</v>
      </c>
      <c r="AA35">
        <v>666.26</v>
      </c>
      <c r="AB35">
        <v>0</v>
      </c>
      <c r="AC35">
        <v>0</v>
      </c>
      <c r="AD35">
        <v>0</v>
      </c>
      <c r="AE35">
        <v>129.37</v>
      </c>
      <c r="AF35">
        <v>0</v>
      </c>
      <c r="AG35">
        <v>0</v>
      </c>
      <c r="AH35">
        <v>0</v>
      </c>
      <c r="AI35">
        <v>5.15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5</v>
      </c>
      <c r="AV35">
        <v>0</v>
      </c>
      <c r="AW35">
        <v>2</v>
      </c>
      <c r="AX35">
        <v>44571454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Y35*Source!I39</f>
        <v>-5.3500000000000005</v>
      </c>
      <c r="CY35">
        <f>AA35</f>
        <v>666.26</v>
      </c>
      <c r="CZ35">
        <f>AE35</f>
        <v>129.37</v>
      </c>
      <c r="DA35">
        <f>AI35</f>
        <v>5.15</v>
      </c>
      <c r="DB35">
        <f>ROUND(ROUND(AT35*CZ35,2),2)</f>
        <v>646.85</v>
      </c>
      <c r="DC35">
        <f>ROUND(ROUND(AT35*AG35,2),2)</f>
        <v>0</v>
      </c>
    </row>
    <row r="36" spans="1:107" ht="12.75">
      <c r="A36">
        <f>ROW(Source!A84)</f>
        <v>84</v>
      </c>
      <c r="B36">
        <v>44571020</v>
      </c>
      <c r="C36">
        <v>44571455</v>
      </c>
      <c r="D36">
        <v>9915120</v>
      </c>
      <c r="E36">
        <v>1</v>
      </c>
      <c r="F36">
        <v>1</v>
      </c>
      <c r="G36">
        <v>1</v>
      </c>
      <c r="H36">
        <v>1</v>
      </c>
      <c r="I36" t="s">
        <v>500</v>
      </c>
      <c r="K36" t="s">
        <v>501</v>
      </c>
      <c r="L36">
        <v>1191</v>
      </c>
      <c r="N36">
        <v>1013</v>
      </c>
      <c r="O36" t="s">
        <v>445</v>
      </c>
      <c r="P36" t="s">
        <v>445</v>
      </c>
      <c r="Q36">
        <v>1</v>
      </c>
      <c r="W36">
        <v>0</v>
      </c>
      <c r="X36">
        <v>1028592258</v>
      </c>
      <c r="Y36">
        <v>7.313999999999999</v>
      </c>
      <c r="AA36">
        <v>0</v>
      </c>
      <c r="AB36">
        <v>0</v>
      </c>
      <c r="AC36">
        <v>0</v>
      </c>
      <c r="AD36">
        <v>270.5</v>
      </c>
      <c r="AE36">
        <v>0</v>
      </c>
      <c r="AF36">
        <v>0</v>
      </c>
      <c r="AG36">
        <v>0</v>
      </c>
      <c r="AH36">
        <v>9.35</v>
      </c>
      <c r="AI36">
        <v>1</v>
      </c>
      <c r="AJ36">
        <v>1</v>
      </c>
      <c r="AK36">
        <v>1</v>
      </c>
      <c r="AL36">
        <v>28.93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5.3</v>
      </c>
      <c r="AU36" t="s">
        <v>22</v>
      </c>
      <c r="AV36">
        <v>1</v>
      </c>
      <c r="AW36">
        <v>2</v>
      </c>
      <c r="AX36">
        <v>44571460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Y36*Source!I84</f>
        <v>8.11854</v>
      </c>
      <c r="CY36">
        <f>AD36</f>
        <v>270.5</v>
      </c>
      <c r="CZ36">
        <f>AH36</f>
        <v>9.35</v>
      </c>
      <c r="DA36">
        <f>AL36</f>
        <v>28.93</v>
      </c>
      <c r="DB36">
        <f>ROUND((ROUND(AT36*CZ36,2)*ROUND((1.2*1.15),7)),2)</f>
        <v>68.39</v>
      </c>
      <c r="DC36">
        <f>ROUND((ROUND(AT36*AG36,2)*ROUND((1.2*1.15),7)),2)</f>
        <v>0</v>
      </c>
    </row>
    <row r="37" spans="1:107" ht="12.75">
      <c r="A37">
        <f>ROW(Source!A84)</f>
        <v>84</v>
      </c>
      <c r="B37">
        <v>44571020</v>
      </c>
      <c r="C37">
        <v>44571455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28</v>
      </c>
      <c r="K37" t="s">
        <v>446</v>
      </c>
      <c r="L37">
        <v>608254</v>
      </c>
      <c r="N37">
        <v>1013</v>
      </c>
      <c r="O37" t="s">
        <v>447</v>
      </c>
      <c r="P37" t="s">
        <v>447</v>
      </c>
      <c r="Q37">
        <v>1</v>
      </c>
      <c r="W37">
        <v>0</v>
      </c>
      <c r="X37">
        <v>-185737400</v>
      </c>
      <c r="Y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28.93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</v>
      </c>
      <c r="AU37" t="s">
        <v>22</v>
      </c>
      <c r="AV37">
        <v>2</v>
      </c>
      <c r="AW37">
        <v>2</v>
      </c>
      <c r="AX37">
        <v>44571461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Y37*Source!I84</f>
        <v>0</v>
      </c>
      <c r="CY37">
        <f>AD37</f>
        <v>0</v>
      </c>
      <c r="CZ37">
        <f>AH37</f>
        <v>0</v>
      </c>
      <c r="DA37">
        <f>AL37</f>
        <v>1</v>
      </c>
      <c r="DB37">
        <f>ROUND((ROUND(AT37*CZ37,2)*ROUND((1.2*1.15),7)),2)</f>
        <v>0</v>
      </c>
      <c r="DC37">
        <f>ROUND((ROUND(AT37*AG37,2)*ROUND((1.2*1.15),7)),2)</f>
        <v>0</v>
      </c>
    </row>
    <row r="38" spans="1:107" ht="12.75">
      <c r="A38">
        <f>ROW(Source!A84)</f>
        <v>84</v>
      </c>
      <c r="B38">
        <v>44571020</v>
      </c>
      <c r="C38">
        <v>44571455</v>
      </c>
      <c r="D38">
        <v>13904227</v>
      </c>
      <c r="E38">
        <v>1</v>
      </c>
      <c r="F38">
        <v>1</v>
      </c>
      <c r="G38">
        <v>1</v>
      </c>
      <c r="H38">
        <v>2</v>
      </c>
      <c r="I38" t="s">
        <v>482</v>
      </c>
      <c r="J38" t="s">
        <v>483</v>
      </c>
      <c r="K38" t="s">
        <v>484</v>
      </c>
      <c r="L38">
        <v>1368</v>
      </c>
      <c r="N38">
        <v>1011</v>
      </c>
      <c r="O38" t="s">
        <v>453</v>
      </c>
      <c r="P38" t="s">
        <v>453</v>
      </c>
      <c r="Q38">
        <v>1</v>
      </c>
      <c r="W38">
        <v>0</v>
      </c>
      <c r="X38">
        <v>1849659131</v>
      </c>
      <c r="Y38">
        <v>5.382</v>
      </c>
      <c r="AA38">
        <v>0</v>
      </c>
      <c r="AB38">
        <v>623.39</v>
      </c>
      <c r="AC38">
        <v>0</v>
      </c>
      <c r="AD38">
        <v>0</v>
      </c>
      <c r="AE38">
        <v>0</v>
      </c>
      <c r="AF38">
        <v>80.75</v>
      </c>
      <c r="AG38">
        <v>0</v>
      </c>
      <c r="AH38">
        <v>0</v>
      </c>
      <c r="AI38">
        <v>1</v>
      </c>
      <c r="AJ38">
        <v>7.72</v>
      </c>
      <c r="AK38">
        <v>28.93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3.9</v>
      </c>
      <c r="AU38" t="s">
        <v>22</v>
      </c>
      <c r="AV38">
        <v>0</v>
      </c>
      <c r="AW38">
        <v>2</v>
      </c>
      <c r="AX38">
        <v>44571462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Y38*Source!I84</f>
        <v>5.97402</v>
      </c>
      <c r="CY38">
        <f>AB38</f>
        <v>623.39</v>
      </c>
      <c r="CZ38">
        <f>AF38</f>
        <v>80.75</v>
      </c>
      <c r="DA38">
        <f>AJ38</f>
        <v>7.72</v>
      </c>
      <c r="DB38">
        <f>ROUND((ROUND(AT38*CZ38,2)*ROUND((1.2*1.15),7)),2)</f>
        <v>434.6</v>
      </c>
      <c r="DC38">
        <f>ROUND((ROUND(AT38*AG38,2)*ROUND((1.2*1.15),7)),2)</f>
        <v>0</v>
      </c>
    </row>
    <row r="39" spans="1:107" ht="12.75">
      <c r="A39">
        <f>ROW(Source!A84)</f>
        <v>84</v>
      </c>
      <c r="B39">
        <v>44571020</v>
      </c>
      <c r="C39">
        <v>44571455</v>
      </c>
      <c r="D39">
        <v>14105700</v>
      </c>
      <c r="E39">
        <v>1</v>
      </c>
      <c r="F39">
        <v>1</v>
      </c>
      <c r="G39">
        <v>1</v>
      </c>
      <c r="H39">
        <v>3</v>
      </c>
      <c r="I39" t="s">
        <v>502</v>
      </c>
      <c r="J39" t="s">
        <v>503</v>
      </c>
      <c r="K39" t="s">
        <v>504</v>
      </c>
      <c r="L39">
        <v>1374</v>
      </c>
      <c r="N39">
        <v>1013</v>
      </c>
      <c r="O39" t="s">
        <v>505</v>
      </c>
      <c r="P39" t="s">
        <v>505</v>
      </c>
      <c r="Q39">
        <v>1</v>
      </c>
      <c r="W39">
        <v>0</v>
      </c>
      <c r="X39">
        <v>1723657366</v>
      </c>
      <c r="Y39">
        <v>0.99</v>
      </c>
      <c r="AA39">
        <v>5.15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5.15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0.99</v>
      </c>
      <c r="AV39">
        <v>0</v>
      </c>
      <c r="AW39">
        <v>2</v>
      </c>
      <c r="AX39">
        <v>44571463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Y39*Source!I84</f>
        <v>1.0989</v>
      </c>
      <c r="CY39">
        <f>AA39</f>
        <v>5.15</v>
      </c>
      <c r="CZ39">
        <f>AE39</f>
        <v>1</v>
      </c>
      <c r="DA39">
        <f>AI39</f>
        <v>5.15</v>
      </c>
      <c r="DB39">
        <f>ROUND(ROUND(AT39*CZ39,2),2)</f>
        <v>0.99</v>
      </c>
      <c r="DC39">
        <f>ROUND(ROUND(AT39*AG39,2),2)</f>
        <v>0</v>
      </c>
    </row>
    <row r="40" spans="1:107" ht="12.75">
      <c r="A40">
        <f>ROW(Source!A85)</f>
        <v>85</v>
      </c>
      <c r="B40">
        <v>44571020</v>
      </c>
      <c r="C40">
        <v>44571464</v>
      </c>
      <c r="D40">
        <v>9915120</v>
      </c>
      <c r="E40">
        <v>1</v>
      </c>
      <c r="F40">
        <v>1</v>
      </c>
      <c r="G40">
        <v>1</v>
      </c>
      <c r="H40">
        <v>1</v>
      </c>
      <c r="I40" t="s">
        <v>500</v>
      </c>
      <c r="K40" t="s">
        <v>501</v>
      </c>
      <c r="L40">
        <v>1191</v>
      </c>
      <c r="N40">
        <v>1013</v>
      </c>
      <c r="O40" t="s">
        <v>445</v>
      </c>
      <c r="P40" t="s">
        <v>445</v>
      </c>
      <c r="Q40">
        <v>1</v>
      </c>
      <c r="W40">
        <v>0</v>
      </c>
      <c r="X40">
        <v>1028592258</v>
      </c>
      <c r="Y40">
        <v>7.189799999999999</v>
      </c>
      <c r="AA40">
        <v>0</v>
      </c>
      <c r="AB40">
        <v>0</v>
      </c>
      <c r="AC40">
        <v>0</v>
      </c>
      <c r="AD40">
        <v>270.5</v>
      </c>
      <c r="AE40">
        <v>0</v>
      </c>
      <c r="AF40">
        <v>0</v>
      </c>
      <c r="AG40">
        <v>0</v>
      </c>
      <c r="AH40">
        <v>9.35</v>
      </c>
      <c r="AI40">
        <v>1</v>
      </c>
      <c r="AJ40">
        <v>1</v>
      </c>
      <c r="AK40">
        <v>1</v>
      </c>
      <c r="AL40">
        <v>28.93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5.21</v>
      </c>
      <c r="AU40" t="s">
        <v>22</v>
      </c>
      <c r="AV40">
        <v>1</v>
      </c>
      <c r="AW40">
        <v>2</v>
      </c>
      <c r="AX40">
        <v>44571470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Y40*Source!I85</f>
        <v>6.111329999999999</v>
      </c>
      <c r="CY40">
        <f>AD40</f>
        <v>270.5</v>
      </c>
      <c r="CZ40">
        <f>AH40</f>
        <v>9.35</v>
      </c>
      <c r="DA40">
        <f>AL40</f>
        <v>28.93</v>
      </c>
      <c r="DB40">
        <f>ROUND((ROUND(AT40*CZ40,2)*ROUND((1.2*1.15),7)),2)</f>
        <v>67.22</v>
      </c>
      <c r="DC40">
        <f>ROUND((ROUND(AT40*AG40,2)*ROUND((1.2*1.15),7)),2)</f>
        <v>0</v>
      </c>
    </row>
    <row r="41" spans="1:107" ht="12.75">
      <c r="A41">
        <f>ROW(Source!A85)</f>
        <v>85</v>
      </c>
      <c r="B41">
        <v>44571020</v>
      </c>
      <c r="C41">
        <v>44571464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28</v>
      </c>
      <c r="K41" t="s">
        <v>446</v>
      </c>
      <c r="L41">
        <v>608254</v>
      </c>
      <c r="N41">
        <v>1013</v>
      </c>
      <c r="O41" t="s">
        <v>447</v>
      </c>
      <c r="P41" t="s">
        <v>447</v>
      </c>
      <c r="Q41">
        <v>1</v>
      </c>
      <c r="W41">
        <v>0</v>
      </c>
      <c r="X41">
        <v>-185737400</v>
      </c>
      <c r="Y41">
        <v>2.3874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28.93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1.73</v>
      </c>
      <c r="AU41" t="s">
        <v>22</v>
      </c>
      <c r="AV41">
        <v>2</v>
      </c>
      <c r="AW41">
        <v>2</v>
      </c>
      <c r="AX41">
        <v>44571471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Y41*Source!I85</f>
        <v>2.02929</v>
      </c>
      <c r="CY41">
        <f>AD41</f>
        <v>0</v>
      </c>
      <c r="CZ41">
        <f>AH41</f>
        <v>0</v>
      </c>
      <c r="DA41">
        <f>AL41</f>
        <v>1</v>
      </c>
      <c r="DB41">
        <f>ROUND((ROUND(AT41*CZ41,2)*ROUND((1.2*1.15),7)),2)</f>
        <v>0</v>
      </c>
      <c r="DC41">
        <f>ROUND((ROUND(AT41*AG41,2)*ROUND((1.2*1.15),7)),2)</f>
        <v>0</v>
      </c>
    </row>
    <row r="42" spans="1:107" ht="12.75">
      <c r="A42">
        <f>ROW(Source!A85)</f>
        <v>85</v>
      </c>
      <c r="B42">
        <v>44571020</v>
      </c>
      <c r="C42">
        <v>44571464</v>
      </c>
      <c r="D42">
        <v>13901789</v>
      </c>
      <c r="E42">
        <v>1</v>
      </c>
      <c r="F42">
        <v>1</v>
      </c>
      <c r="G42">
        <v>1</v>
      </c>
      <c r="H42">
        <v>2</v>
      </c>
      <c r="I42" t="s">
        <v>506</v>
      </c>
      <c r="J42" t="s">
        <v>507</v>
      </c>
      <c r="K42" t="s">
        <v>508</v>
      </c>
      <c r="L42">
        <v>1368</v>
      </c>
      <c r="N42">
        <v>1011</v>
      </c>
      <c r="O42" t="s">
        <v>453</v>
      </c>
      <c r="P42" t="s">
        <v>453</v>
      </c>
      <c r="Q42">
        <v>1</v>
      </c>
      <c r="W42">
        <v>0</v>
      </c>
      <c r="X42">
        <v>2102783</v>
      </c>
      <c r="Y42">
        <v>2.3874</v>
      </c>
      <c r="AA42">
        <v>0</v>
      </c>
      <c r="AB42">
        <v>1209.88</v>
      </c>
      <c r="AC42">
        <v>379.56</v>
      </c>
      <c r="AD42">
        <v>0</v>
      </c>
      <c r="AE42">
        <v>0</v>
      </c>
      <c r="AF42">
        <v>156.72</v>
      </c>
      <c r="AG42">
        <v>13.12</v>
      </c>
      <c r="AH42">
        <v>0</v>
      </c>
      <c r="AI42">
        <v>1</v>
      </c>
      <c r="AJ42">
        <v>7.72</v>
      </c>
      <c r="AK42">
        <v>28.93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1.73</v>
      </c>
      <c r="AU42" t="s">
        <v>22</v>
      </c>
      <c r="AV42">
        <v>0</v>
      </c>
      <c r="AW42">
        <v>2</v>
      </c>
      <c r="AX42">
        <v>44571472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Y42*Source!I85</f>
        <v>2.02929</v>
      </c>
      <c r="CY42">
        <f>AB42</f>
        <v>1209.88</v>
      </c>
      <c r="CZ42">
        <f>AF42</f>
        <v>156.72</v>
      </c>
      <c r="DA42">
        <f>AJ42</f>
        <v>7.72</v>
      </c>
      <c r="DB42">
        <f>ROUND((ROUND(AT42*CZ42,2)*ROUND((1.2*1.15),7)),2)</f>
        <v>374.16</v>
      </c>
      <c r="DC42">
        <f>ROUND((ROUND(AT42*AG42,2)*ROUND((1.2*1.15),7)),2)</f>
        <v>31.33</v>
      </c>
    </row>
    <row r="43" spans="1:107" ht="12.75">
      <c r="A43">
        <f>ROW(Source!A85)</f>
        <v>85</v>
      </c>
      <c r="B43">
        <v>44571020</v>
      </c>
      <c r="C43">
        <v>44571464</v>
      </c>
      <c r="D43">
        <v>13904227</v>
      </c>
      <c r="E43">
        <v>1</v>
      </c>
      <c r="F43">
        <v>1</v>
      </c>
      <c r="G43">
        <v>1</v>
      </c>
      <c r="H43">
        <v>2</v>
      </c>
      <c r="I43" t="s">
        <v>482</v>
      </c>
      <c r="J43" t="s">
        <v>483</v>
      </c>
      <c r="K43" t="s">
        <v>484</v>
      </c>
      <c r="L43">
        <v>1368</v>
      </c>
      <c r="N43">
        <v>1011</v>
      </c>
      <c r="O43" t="s">
        <v>453</v>
      </c>
      <c r="P43" t="s">
        <v>453</v>
      </c>
      <c r="Q43">
        <v>1</v>
      </c>
      <c r="W43">
        <v>0</v>
      </c>
      <c r="X43">
        <v>1849659131</v>
      </c>
      <c r="Y43">
        <v>2.3874</v>
      </c>
      <c r="AA43">
        <v>0</v>
      </c>
      <c r="AB43">
        <v>623.39</v>
      </c>
      <c r="AC43">
        <v>0</v>
      </c>
      <c r="AD43">
        <v>0</v>
      </c>
      <c r="AE43">
        <v>0</v>
      </c>
      <c r="AF43">
        <v>80.75</v>
      </c>
      <c r="AG43">
        <v>0</v>
      </c>
      <c r="AH43">
        <v>0</v>
      </c>
      <c r="AI43">
        <v>1</v>
      </c>
      <c r="AJ43">
        <v>7.72</v>
      </c>
      <c r="AK43">
        <v>28.93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1.73</v>
      </c>
      <c r="AU43" t="s">
        <v>22</v>
      </c>
      <c r="AV43">
        <v>0</v>
      </c>
      <c r="AW43">
        <v>2</v>
      </c>
      <c r="AX43">
        <v>44571473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Y43*Source!I85</f>
        <v>2.02929</v>
      </c>
      <c r="CY43">
        <f>AB43</f>
        <v>623.39</v>
      </c>
      <c r="CZ43">
        <f>AF43</f>
        <v>80.75</v>
      </c>
      <c r="DA43">
        <f>AJ43</f>
        <v>7.72</v>
      </c>
      <c r="DB43">
        <f>ROUND((ROUND(AT43*CZ43,2)*ROUND((1.2*1.15),7)),2)</f>
        <v>192.79</v>
      </c>
      <c r="DC43">
        <f>ROUND((ROUND(AT43*AG43,2)*ROUND((1.2*1.15),7)),2)</f>
        <v>0</v>
      </c>
    </row>
    <row r="44" spans="1:107" ht="12.75">
      <c r="A44">
        <f>ROW(Source!A85)</f>
        <v>85</v>
      </c>
      <c r="B44">
        <v>44571020</v>
      </c>
      <c r="C44">
        <v>44571464</v>
      </c>
      <c r="D44">
        <v>14105700</v>
      </c>
      <c r="E44">
        <v>1</v>
      </c>
      <c r="F44">
        <v>1</v>
      </c>
      <c r="G44">
        <v>1</v>
      </c>
      <c r="H44">
        <v>3</v>
      </c>
      <c r="I44" t="s">
        <v>502</v>
      </c>
      <c r="J44" t="s">
        <v>503</v>
      </c>
      <c r="K44" t="s">
        <v>504</v>
      </c>
      <c r="L44">
        <v>1374</v>
      </c>
      <c r="N44">
        <v>1013</v>
      </c>
      <c r="O44" t="s">
        <v>505</v>
      </c>
      <c r="P44" t="s">
        <v>505</v>
      </c>
      <c r="Q44">
        <v>1</v>
      </c>
      <c r="W44">
        <v>0</v>
      </c>
      <c r="X44">
        <v>1723657366</v>
      </c>
      <c r="Y44">
        <v>0.97</v>
      </c>
      <c r="AA44">
        <v>5.15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5.15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0.97</v>
      </c>
      <c r="AV44">
        <v>0</v>
      </c>
      <c r="AW44">
        <v>2</v>
      </c>
      <c r="AX44">
        <v>44571474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Y44*Source!I85</f>
        <v>0.8245</v>
      </c>
      <c r="CY44">
        <f>AA44</f>
        <v>5.15</v>
      </c>
      <c r="CZ44">
        <f>AE44</f>
        <v>1</v>
      </c>
      <c r="DA44">
        <f>AI44</f>
        <v>5.15</v>
      </c>
      <c r="DB44">
        <f>ROUND(ROUND(AT44*CZ44,2),2)</f>
        <v>0.97</v>
      </c>
      <c r="DC44">
        <f>ROUND(ROUND(AT44*AG44,2),2)</f>
        <v>0</v>
      </c>
    </row>
    <row r="45" spans="1:107" ht="12.75">
      <c r="A45">
        <f>ROW(Source!A86)</f>
        <v>86</v>
      </c>
      <c r="B45">
        <v>44571020</v>
      </c>
      <c r="C45">
        <v>44571475</v>
      </c>
      <c r="D45">
        <v>9915120</v>
      </c>
      <c r="E45">
        <v>1</v>
      </c>
      <c r="F45">
        <v>1</v>
      </c>
      <c r="G45">
        <v>1</v>
      </c>
      <c r="H45">
        <v>1</v>
      </c>
      <c r="I45" t="s">
        <v>500</v>
      </c>
      <c r="K45" t="s">
        <v>501</v>
      </c>
      <c r="L45">
        <v>1191</v>
      </c>
      <c r="N45">
        <v>1013</v>
      </c>
      <c r="O45" t="s">
        <v>445</v>
      </c>
      <c r="P45" t="s">
        <v>445</v>
      </c>
      <c r="Q45">
        <v>1</v>
      </c>
      <c r="W45">
        <v>0</v>
      </c>
      <c r="X45">
        <v>1028592258</v>
      </c>
      <c r="Y45">
        <v>15.124799999999999</v>
      </c>
      <c r="AA45">
        <v>0</v>
      </c>
      <c r="AB45">
        <v>0</v>
      </c>
      <c r="AC45">
        <v>0</v>
      </c>
      <c r="AD45">
        <v>270.5</v>
      </c>
      <c r="AE45">
        <v>0</v>
      </c>
      <c r="AF45">
        <v>0</v>
      </c>
      <c r="AG45">
        <v>0</v>
      </c>
      <c r="AH45">
        <v>9.35</v>
      </c>
      <c r="AI45">
        <v>1</v>
      </c>
      <c r="AJ45">
        <v>1</v>
      </c>
      <c r="AK45">
        <v>1</v>
      </c>
      <c r="AL45">
        <v>28.93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10.96</v>
      </c>
      <c r="AU45" t="s">
        <v>86</v>
      </c>
      <c r="AV45">
        <v>1</v>
      </c>
      <c r="AW45">
        <v>2</v>
      </c>
      <c r="AX45">
        <v>44571488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Y45*Source!I86</f>
        <v>13.914816</v>
      </c>
      <c r="CY45">
        <f>AD45</f>
        <v>270.5</v>
      </c>
      <c r="CZ45">
        <f>AH45</f>
        <v>9.35</v>
      </c>
      <c r="DA45">
        <f>AL45</f>
        <v>28.93</v>
      </c>
      <c r="DB45">
        <f aca="true" t="shared" si="7" ref="DB45:DB50">ROUND((ROUND(AT45*CZ45,2)*ROUND((1.15*1.2),7)),2)</f>
        <v>141.42</v>
      </c>
      <c r="DC45">
        <f aca="true" t="shared" si="8" ref="DC45:DC50">ROUND((ROUND(AT45*AG45,2)*ROUND((1.15*1.2),7)),2)</f>
        <v>0</v>
      </c>
    </row>
    <row r="46" spans="1:107" ht="12.75">
      <c r="A46">
        <f>ROW(Source!A86)</f>
        <v>86</v>
      </c>
      <c r="B46">
        <v>44571020</v>
      </c>
      <c r="C46">
        <v>44571475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28</v>
      </c>
      <c r="K46" t="s">
        <v>446</v>
      </c>
      <c r="L46">
        <v>608254</v>
      </c>
      <c r="N46">
        <v>1013</v>
      </c>
      <c r="O46" t="s">
        <v>447</v>
      </c>
      <c r="P46" t="s">
        <v>447</v>
      </c>
      <c r="Q46">
        <v>1</v>
      </c>
      <c r="W46">
        <v>0</v>
      </c>
      <c r="X46">
        <v>-185737400</v>
      </c>
      <c r="Y46">
        <v>0.6209999999999999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28.93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0.45</v>
      </c>
      <c r="AU46" t="s">
        <v>86</v>
      </c>
      <c r="AV46">
        <v>2</v>
      </c>
      <c r="AW46">
        <v>2</v>
      </c>
      <c r="AX46">
        <v>44571489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Y46*Source!I86</f>
        <v>0.5713199999999999</v>
      </c>
      <c r="CY46">
        <f>AD46</f>
        <v>0</v>
      </c>
      <c r="CZ46">
        <f>AH46</f>
        <v>0</v>
      </c>
      <c r="DA46">
        <f>AL46</f>
        <v>1</v>
      </c>
      <c r="DB46">
        <f t="shared" si="7"/>
        <v>0</v>
      </c>
      <c r="DC46">
        <f t="shared" si="8"/>
        <v>0</v>
      </c>
    </row>
    <row r="47" spans="1:107" ht="12.75">
      <c r="A47">
        <f>ROW(Source!A86)</f>
        <v>86</v>
      </c>
      <c r="B47">
        <v>44571020</v>
      </c>
      <c r="C47">
        <v>44571475</v>
      </c>
      <c r="D47">
        <v>13901789</v>
      </c>
      <c r="E47">
        <v>1</v>
      </c>
      <c r="F47">
        <v>1</v>
      </c>
      <c r="G47">
        <v>1</v>
      </c>
      <c r="H47">
        <v>2</v>
      </c>
      <c r="I47" t="s">
        <v>506</v>
      </c>
      <c r="J47" t="s">
        <v>507</v>
      </c>
      <c r="K47" t="s">
        <v>508</v>
      </c>
      <c r="L47">
        <v>1368</v>
      </c>
      <c r="N47">
        <v>1011</v>
      </c>
      <c r="O47" t="s">
        <v>453</v>
      </c>
      <c r="P47" t="s">
        <v>453</v>
      </c>
      <c r="Q47">
        <v>1</v>
      </c>
      <c r="W47">
        <v>0</v>
      </c>
      <c r="X47">
        <v>2102783</v>
      </c>
      <c r="Y47">
        <v>0.6209999999999999</v>
      </c>
      <c r="AA47">
        <v>0</v>
      </c>
      <c r="AB47">
        <v>1209.88</v>
      </c>
      <c r="AC47">
        <v>379.56</v>
      </c>
      <c r="AD47">
        <v>0</v>
      </c>
      <c r="AE47">
        <v>0</v>
      </c>
      <c r="AF47">
        <v>156.72</v>
      </c>
      <c r="AG47">
        <v>13.12</v>
      </c>
      <c r="AH47">
        <v>0</v>
      </c>
      <c r="AI47">
        <v>1</v>
      </c>
      <c r="AJ47">
        <v>7.72</v>
      </c>
      <c r="AK47">
        <v>28.93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0.45</v>
      </c>
      <c r="AU47" t="s">
        <v>86</v>
      </c>
      <c r="AV47">
        <v>0</v>
      </c>
      <c r="AW47">
        <v>2</v>
      </c>
      <c r="AX47">
        <v>44571490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Y47*Source!I86</f>
        <v>0.5713199999999999</v>
      </c>
      <c r="CY47">
        <f>AB47</f>
        <v>1209.88</v>
      </c>
      <c r="CZ47">
        <f>AF47</f>
        <v>156.72</v>
      </c>
      <c r="DA47">
        <f>AJ47</f>
        <v>7.72</v>
      </c>
      <c r="DB47">
        <f t="shared" si="7"/>
        <v>97.32</v>
      </c>
      <c r="DC47">
        <f t="shared" si="8"/>
        <v>8.14</v>
      </c>
    </row>
    <row r="48" spans="1:107" ht="12.75">
      <c r="A48">
        <f>ROW(Source!A86)</f>
        <v>86</v>
      </c>
      <c r="B48">
        <v>44571020</v>
      </c>
      <c r="C48">
        <v>44571475</v>
      </c>
      <c r="D48">
        <v>13901897</v>
      </c>
      <c r="E48">
        <v>1</v>
      </c>
      <c r="F48">
        <v>1</v>
      </c>
      <c r="G48">
        <v>1</v>
      </c>
      <c r="H48">
        <v>2</v>
      </c>
      <c r="I48" t="s">
        <v>509</v>
      </c>
      <c r="J48" t="s">
        <v>510</v>
      </c>
      <c r="K48" t="s">
        <v>511</v>
      </c>
      <c r="L48">
        <v>1368</v>
      </c>
      <c r="N48">
        <v>1011</v>
      </c>
      <c r="O48" t="s">
        <v>453</v>
      </c>
      <c r="P48" t="s">
        <v>453</v>
      </c>
      <c r="Q48">
        <v>1</v>
      </c>
      <c r="W48">
        <v>0</v>
      </c>
      <c r="X48">
        <v>-1862098278</v>
      </c>
      <c r="Y48">
        <v>3.5603999999999996</v>
      </c>
      <c r="AA48">
        <v>0</v>
      </c>
      <c r="AB48">
        <v>20.84</v>
      </c>
      <c r="AC48">
        <v>0</v>
      </c>
      <c r="AD48">
        <v>0</v>
      </c>
      <c r="AE48">
        <v>0</v>
      </c>
      <c r="AF48">
        <v>2.7</v>
      </c>
      <c r="AG48">
        <v>0</v>
      </c>
      <c r="AH48">
        <v>0</v>
      </c>
      <c r="AI48">
        <v>1</v>
      </c>
      <c r="AJ48">
        <v>7.72</v>
      </c>
      <c r="AK48">
        <v>28.93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2.58</v>
      </c>
      <c r="AU48" t="s">
        <v>86</v>
      </c>
      <c r="AV48">
        <v>0</v>
      </c>
      <c r="AW48">
        <v>2</v>
      </c>
      <c r="AX48">
        <v>44571491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Y48*Source!I86</f>
        <v>3.275568</v>
      </c>
      <c r="CY48">
        <f>AB48</f>
        <v>20.84</v>
      </c>
      <c r="CZ48">
        <f>AF48</f>
        <v>2.7</v>
      </c>
      <c r="DA48">
        <f>AJ48</f>
        <v>7.72</v>
      </c>
      <c r="DB48">
        <f t="shared" si="7"/>
        <v>9.62</v>
      </c>
      <c r="DC48">
        <f t="shared" si="8"/>
        <v>0</v>
      </c>
    </row>
    <row r="49" spans="1:107" ht="12.75">
      <c r="A49">
        <f>ROW(Source!A86)</f>
        <v>86</v>
      </c>
      <c r="B49">
        <v>44571020</v>
      </c>
      <c r="C49">
        <v>44571475</v>
      </c>
      <c r="D49">
        <v>13901915</v>
      </c>
      <c r="E49">
        <v>1</v>
      </c>
      <c r="F49">
        <v>1</v>
      </c>
      <c r="G49">
        <v>1</v>
      </c>
      <c r="H49">
        <v>2</v>
      </c>
      <c r="I49" t="s">
        <v>512</v>
      </c>
      <c r="J49" t="s">
        <v>513</v>
      </c>
      <c r="K49" t="s">
        <v>514</v>
      </c>
      <c r="L49">
        <v>1368</v>
      </c>
      <c r="N49">
        <v>1011</v>
      </c>
      <c r="O49" t="s">
        <v>453</v>
      </c>
      <c r="P49" t="s">
        <v>453</v>
      </c>
      <c r="Q49">
        <v>1</v>
      </c>
      <c r="W49">
        <v>0</v>
      </c>
      <c r="X49">
        <v>-122613164</v>
      </c>
      <c r="Y49">
        <v>3.5603999999999996</v>
      </c>
      <c r="AA49">
        <v>0</v>
      </c>
      <c r="AB49">
        <v>35.59</v>
      </c>
      <c r="AC49">
        <v>0</v>
      </c>
      <c r="AD49">
        <v>0</v>
      </c>
      <c r="AE49">
        <v>0</v>
      </c>
      <c r="AF49">
        <v>4.61</v>
      </c>
      <c r="AG49">
        <v>0</v>
      </c>
      <c r="AH49">
        <v>0</v>
      </c>
      <c r="AI49">
        <v>1</v>
      </c>
      <c r="AJ49">
        <v>7.72</v>
      </c>
      <c r="AK49">
        <v>28.93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2.58</v>
      </c>
      <c r="AU49" t="s">
        <v>86</v>
      </c>
      <c r="AV49">
        <v>0</v>
      </c>
      <c r="AW49">
        <v>2</v>
      </c>
      <c r="AX49">
        <v>44571492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Y49*Source!I86</f>
        <v>3.275568</v>
      </c>
      <c r="CY49">
        <f>AB49</f>
        <v>35.59</v>
      </c>
      <c r="CZ49">
        <f>AF49</f>
        <v>4.61</v>
      </c>
      <c r="DA49">
        <f>AJ49</f>
        <v>7.72</v>
      </c>
      <c r="DB49">
        <f t="shared" si="7"/>
        <v>16.41</v>
      </c>
      <c r="DC49">
        <f t="shared" si="8"/>
        <v>0</v>
      </c>
    </row>
    <row r="50" spans="1:107" ht="12.75">
      <c r="A50">
        <f>ROW(Source!A86)</f>
        <v>86</v>
      </c>
      <c r="B50">
        <v>44571020</v>
      </c>
      <c r="C50">
        <v>44571475</v>
      </c>
      <c r="D50">
        <v>13904227</v>
      </c>
      <c r="E50">
        <v>1</v>
      </c>
      <c r="F50">
        <v>1</v>
      </c>
      <c r="G50">
        <v>1</v>
      </c>
      <c r="H50">
        <v>2</v>
      </c>
      <c r="I50" t="s">
        <v>482</v>
      </c>
      <c r="J50" t="s">
        <v>483</v>
      </c>
      <c r="K50" t="s">
        <v>484</v>
      </c>
      <c r="L50">
        <v>1368</v>
      </c>
      <c r="N50">
        <v>1011</v>
      </c>
      <c r="O50" t="s">
        <v>453</v>
      </c>
      <c r="P50" t="s">
        <v>453</v>
      </c>
      <c r="Q50">
        <v>1</v>
      </c>
      <c r="W50">
        <v>0</v>
      </c>
      <c r="X50">
        <v>1849659131</v>
      </c>
      <c r="Y50">
        <v>0.6209999999999999</v>
      </c>
      <c r="AA50">
        <v>0</v>
      </c>
      <c r="AB50">
        <v>623.39</v>
      </c>
      <c r="AC50">
        <v>0</v>
      </c>
      <c r="AD50">
        <v>0</v>
      </c>
      <c r="AE50">
        <v>0</v>
      </c>
      <c r="AF50">
        <v>80.75</v>
      </c>
      <c r="AG50">
        <v>0</v>
      </c>
      <c r="AH50">
        <v>0</v>
      </c>
      <c r="AI50">
        <v>1</v>
      </c>
      <c r="AJ50">
        <v>7.72</v>
      </c>
      <c r="AK50">
        <v>28.93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0.45</v>
      </c>
      <c r="AU50" t="s">
        <v>86</v>
      </c>
      <c r="AV50">
        <v>0</v>
      </c>
      <c r="AW50">
        <v>2</v>
      </c>
      <c r="AX50">
        <v>44571493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Y50*Source!I86</f>
        <v>0.5713199999999999</v>
      </c>
      <c r="CY50">
        <f>AB50</f>
        <v>623.39</v>
      </c>
      <c r="CZ50">
        <f>AF50</f>
        <v>80.75</v>
      </c>
      <c r="DA50">
        <f>AJ50</f>
        <v>7.72</v>
      </c>
      <c r="DB50">
        <f t="shared" si="7"/>
        <v>50.15</v>
      </c>
      <c r="DC50">
        <f t="shared" si="8"/>
        <v>0</v>
      </c>
    </row>
    <row r="51" spans="1:107" ht="12.75">
      <c r="A51">
        <f>ROW(Source!A86)</f>
        <v>86</v>
      </c>
      <c r="B51">
        <v>44571020</v>
      </c>
      <c r="C51">
        <v>44571475</v>
      </c>
      <c r="D51">
        <v>13907327</v>
      </c>
      <c r="E51">
        <v>1</v>
      </c>
      <c r="F51">
        <v>1</v>
      </c>
      <c r="G51">
        <v>1</v>
      </c>
      <c r="H51">
        <v>3</v>
      </c>
      <c r="I51" t="s">
        <v>515</v>
      </c>
      <c r="J51" t="s">
        <v>516</v>
      </c>
      <c r="K51" t="s">
        <v>517</v>
      </c>
      <c r="L51">
        <v>1348</v>
      </c>
      <c r="N51">
        <v>1009</v>
      </c>
      <c r="O51" t="s">
        <v>322</v>
      </c>
      <c r="P51" t="s">
        <v>322</v>
      </c>
      <c r="Q51">
        <v>1000</v>
      </c>
      <c r="W51">
        <v>0</v>
      </c>
      <c r="X51">
        <v>-1832570285</v>
      </c>
      <c r="Y51">
        <v>0.01</v>
      </c>
      <c r="AA51">
        <v>40833.84</v>
      </c>
      <c r="AB51">
        <v>0</v>
      </c>
      <c r="AC51">
        <v>0</v>
      </c>
      <c r="AD51">
        <v>0</v>
      </c>
      <c r="AE51">
        <v>7928.9</v>
      </c>
      <c r="AF51">
        <v>0</v>
      </c>
      <c r="AG51">
        <v>0</v>
      </c>
      <c r="AH51">
        <v>0</v>
      </c>
      <c r="AI51">
        <v>5.15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0.01</v>
      </c>
      <c r="AV51">
        <v>0</v>
      </c>
      <c r="AW51">
        <v>2</v>
      </c>
      <c r="AX51">
        <v>44571494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Y51*Source!I86</f>
        <v>0.0092</v>
      </c>
      <c r="CY51">
        <f aca="true" t="shared" si="9" ref="CY51:CY56">AA51</f>
        <v>40833.84</v>
      </c>
      <c r="CZ51">
        <f aca="true" t="shared" si="10" ref="CZ51:CZ56">AE51</f>
        <v>7928.9</v>
      </c>
      <c r="DA51">
        <f aca="true" t="shared" si="11" ref="DA51:DA56">AI51</f>
        <v>5.15</v>
      </c>
      <c r="DB51">
        <f aca="true" t="shared" si="12" ref="DB51:DB56">ROUND(ROUND(AT51*CZ51,2),2)</f>
        <v>79.29</v>
      </c>
      <c r="DC51">
        <f aca="true" t="shared" si="13" ref="DC51:DC56">ROUND(ROUND(AT51*AG51,2),2)</f>
        <v>0</v>
      </c>
    </row>
    <row r="52" spans="1:107" ht="12.75">
      <c r="A52">
        <f>ROW(Source!A86)</f>
        <v>86</v>
      </c>
      <c r="B52">
        <v>44571020</v>
      </c>
      <c r="C52">
        <v>44571475</v>
      </c>
      <c r="D52">
        <v>13907466</v>
      </c>
      <c r="E52">
        <v>1</v>
      </c>
      <c r="F52">
        <v>1</v>
      </c>
      <c r="G52">
        <v>1</v>
      </c>
      <c r="H52">
        <v>3</v>
      </c>
      <c r="I52" t="s">
        <v>518</v>
      </c>
      <c r="J52" t="s">
        <v>519</v>
      </c>
      <c r="K52" t="s">
        <v>520</v>
      </c>
      <c r="L52">
        <v>1348</v>
      </c>
      <c r="N52">
        <v>1009</v>
      </c>
      <c r="O52" t="s">
        <v>322</v>
      </c>
      <c r="P52" t="s">
        <v>322</v>
      </c>
      <c r="Q52">
        <v>1000</v>
      </c>
      <c r="W52">
        <v>0</v>
      </c>
      <c r="X52">
        <v>102782903</v>
      </c>
      <c r="Y52">
        <v>0.001</v>
      </c>
      <c r="AA52">
        <v>32826.15</v>
      </c>
      <c r="AB52">
        <v>0</v>
      </c>
      <c r="AC52">
        <v>0</v>
      </c>
      <c r="AD52">
        <v>0</v>
      </c>
      <c r="AE52">
        <v>6374.01</v>
      </c>
      <c r="AF52">
        <v>0</v>
      </c>
      <c r="AG52">
        <v>0</v>
      </c>
      <c r="AH52">
        <v>0</v>
      </c>
      <c r="AI52">
        <v>5.15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0.001</v>
      </c>
      <c r="AV52">
        <v>0</v>
      </c>
      <c r="AW52">
        <v>2</v>
      </c>
      <c r="AX52">
        <v>44571495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Y52*Source!I86</f>
        <v>0.00092</v>
      </c>
      <c r="CY52">
        <f t="shared" si="9"/>
        <v>32826.15</v>
      </c>
      <c r="CZ52">
        <f t="shared" si="10"/>
        <v>6374.01</v>
      </c>
      <c r="DA52">
        <f t="shared" si="11"/>
        <v>5.15</v>
      </c>
      <c r="DB52">
        <f t="shared" si="12"/>
        <v>6.37</v>
      </c>
      <c r="DC52">
        <f t="shared" si="13"/>
        <v>0</v>
      </c>
    </row>
    <row r="53" spans="1:107" ht="12.75">
      <c r="A53">
        <f>ROW(Source!A86)</f>
        <v>86</v>
      </c>
      <c r="B53">
        <v>44571020</v>
      </c>
      <c r="C53">
        <v>44571475</v>
      </c>
      <c r="D53">
        <v>13907882</v>
      </c>
      <c r="E53">
        <v>1</v>
      </c>
      <c r="F53">
        <v>1</v>
      </c>
      <c r="G53">
        <v>1</v>
      </c>
      <c r="H53">
        <v>3</v>
      </c>
      <c r="I53" t="s">
        <v>521</v>
      </c>
      <c r="J53" t="s">
        <v>522</v>
      </c>
      <c r="K53" t="s">
        <v>523</v>
      </c>
      <c r="L53">
        <v>1346</v>
      </c>
      <c r="N53">
        <v>1009</v>
      </c>
      <c r="O53" t="s">
        <v>222</v>
      </c>
      <c r="P53" t="s">
        <v>222</v>
      </c>
      <c r="Q53">
        <v>1</v>
      </c>
      <c r="W53">
        <v>0</v>
      </c>
      <c r="X53">
        <v>2089894703</v>
      </c>
      <c r="Y53">
        <v>0.25</v>
      </c>
      <c r="AA53">
        <v>148.78</v>
      </c>
      <c r="AB53">
        <v>0</v>
      </c>
      <c r="AC53">
        <v>0</v>
      </c>
      <c r="AD53">
        <v>0</v>
      </c>
      <c r="AE53">
        <v>28.89</v>
      </c>
      <c r="AF53">
        <v>0</v>
      </c>
      <c r="AG53">
        <v>0</v>
      </c>
      <c r="AH53">
        <v>0</v>
      </c>
      <c r="AI53">
        <v>5.15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0.25</v>
      </c>
      <c r="AV53">
        <v>0</v>
      </c>
      <c r="AW53">
        <v>2</v>
      </c>
      <c r="AX53">
        <v>44571496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Y53*Source!I86</f>
        <v>0.23</v>
      </c>
      <c r="CY53">
        <f t="shared" si="9"/>
        <v>148.78</v>
      </c>
      <c r="CZ53">
        <f t="shared" si="10"/>
        <v>28.89</v>
      </c>
      <c r="DA53">
        <f t="shared" si="11"/>
        <v>5.15</v>
      </c>
      <c r="DB53">
        <f t="shared" si="12"/>
        <v>7.22</v>
      </c>
      <c r="DC53">
        <f t="shared" si="13"/>
        <v>0</v>
      </c>
    </row>
    <row r="54" spans="1:107" ht="12.75">
      <c r="A54">
        <f>ROW(Source!A86)</f>
        <v>86</v>
      </c>
      <c r="B54">
        <v>44571020</v>
      </c>
      <c r="C54">
        <v>44571475</v>
      </c>
      <c r="D54">
        <v>13908341</v>
      </c>
      <c r="E54">
        <v>1</v>
      </c>
      <c r="F54">
        <v>1</v>
      </c>
      <c r="G54">
        <v>1</v>
      </c>
      <c r="H54">
        <v>3</v>
      </c>
      <c r="I54" t="s">
        <v>524</v>
      </c>
      <c r="J54" t="s">
        <v>525</v>
      </c>
      <c r="K54" t="s">
        <v>526</v>
      </c>
      <c r="L54">
        <v>1308</v>
      </c>
      <c r="N54">
        <v>1003</v>
      </c>
      <c r="O54" t="s">
        <v>527</v>
      </c>
      <c r="P54" t="s">
        <v>527</v>
      </c>
      <c r="Q54">
        <v>100</v>
      </c>
      <c r="W54">
        <v>0</v>
      </c>
      <c r="X54">
        <v>2010740808</v>
      </c>
      <c r="Y54">
        <v>0.0096</v>
      </c>
      <c r="AA54">
        <v>594.57</v>
      </c>
      <c r="AB54">
        <v>0</v>
      </c>
      <c r="AC54">
        <v>0</v>
      </c>
      <c r="AD54">
        <v>0</v>
      </c>
      <c r="AE54">
        <v>115.45</v>
      </c>
      <c r="AF54">
        <v>0</v>
      </c>
      <c r="AG54">
        <v>0</v>
      </c>
      <c r="AH54">
        <v>0</v>
      </c>
      <c r="AI54">
        <v>5.15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0.0096</v>
      </c>
      <c r="AV54">
        <v>0</v>
      </c>
      <c r="AW54">
        <v>2</v>
      </c>
      <c r="AX54">
        <v>44571497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Y54*Source!I86</f>
        <v>0.008832</v>
      </c>
      <c r="CY54">
        <f t="shared" si="9"/>
        <v>594.57</v>
      </c>
      <c r="CZ54">
        <f t="shared" si="10"/>
        <v>115.45</v>
      </c>
      <c r="DA54">
        <f t="shared" si="11"/>
        <v>5.15</v>
      </c>
      <c r="DB54">
        <f t="shared" si="12"/>
        <v>1.11</v>
      </c>
      <c r="DC54">
        <f t="shared" si="13"/>
        <v>0</v>
      </c>
    </row>
    <row r="55" spans="1:107" ht="12.75">
      <c r="A55">
        <f>ROW(Source!A86)</f>
        <v>86</v>
      </c>
      <c r="B55">
        <v>44571020</v>
      </c>
      <c r="C55">
        <v>44571475</v>
      </c>
      <c r="D55">
        <v>13930780</v>
      </c>
      <c r="E55">
        <v>1</v>
      </c>
      <c r="F55">
        <v>1</v>
      </c>
      <c r="G55">
        <v>1</v>
      </c>
      <c r="H55">
        <v>3</v>
      </c>
      <c r="I55" t="s">
        <v>528</v>
      </c>
      <c r="J55" t="s">
        <v>529</v>
      </c>
      <c r="K55" t="s">
        <v>530</v>
      </c>
      <c r="L55">
        <v>1348</v>
      </c>
      <c r="N55">
        <v>1009</v>
      </c>
      <c r="O55" t="s">
        <v>322</v>
      </c>
      <c r="P55" t="s">
        <v>322</v>
      </c>
      <c r="Q55">
        <v>1000</v>
      </c>
      <c r="W55">
        <v>0</v>
      </c>
      <c r="X55">
        <v>-1075176237</v>
      </c>
      <c r="Y55">
        <v>6E-05</v>
      </c>
      <c r="AA55">
        <v>48128.4</v>
      </c>
      <c r="AB55">
        <v>0</v>
      </c>
      <c r="AC55">
        <v>0</v>
      </c>
      <c r="AD55">
        <v>0</v>
      </c>
      <c r="AE55">
        <v>9345.32</v>
      </c>
      <c r="AF55">
        <v>0</v>
      </c>
      <c r="AG55">
        <v>0</v>
      </c>
      <c r="AH55">
        <v>0</v>
      </c>
      <c r="AI55">
        <v>5.15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6E-05</v>
      </c>
      <c r="AV55">
        <v>0</v>
      </c>
      <c r="AW55">
        <v>2</v>
      </c>
      <c r="AX55">
        <v>44571498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Y55*Source!I86</f>
        <v>5.520000000000001E-05</v>
      </c>
      <c r="CY55">
        <f t="shared" si="9"/>
        <v>48128.4</v>
      </c>
      <c r="CZ55">
        <f t="shared" si="10"/>
        <v>9345.32</v>
      </c>
      <c r="DA55">
        <f t="shared" si="11"/>
        <v>5.15</v>
      </c>
      <c r="DB55">
        <f t="shared" si="12"/>
        <v>0.56</v>
      </c>
      <c r="DC55">
        <f t="shared" si="13"/>
        <v>0</v>
      </c>
    </row>
    <row r="56" spans="1:107" ht="12.75">
      <c r="A56">
        <f>ROW(Source!A86)</f>
        <v>86</v>
      </c>
      <c r="B56">
        <v>44571020</v>
      </c>
      <c r="C56">
        <v>44571475</v>
      </c>
      <c r="D56">
        <v>14105700</v>
      </c>
      <c r="E56">
        <v>1</v>
      </c>
      <c r="F56">
        <v>1</v>
      </c>
      <c r="G56">
        <v>1</v>
      </c>
      <c r="H56">
        <v>3</v>
      </c>
      <c r="I56" t="s">
        <v>502</v>
      </c>
      <c r="J56" t="s">
        <v>503</v>
      </c>
      <c r="K56" t="s">
        <v>504</v>
      </c>
      <c r="L56">
        <v>1374</v>
      </c>
      <c r="N56">
        <v>1013</v>
      </c>
      <c r="O56" t="s">
        <v>505</v>
      </c>
      <c r="P56" t="s">
        <v>505</v>
      </c>
      <c r="Q56">
        <v>1</v>
      </c>
      <c r="W56">
        <v>0</v>
      </c>
      <c r="X56">
        <v>1723657366</v>
      </c>
      <c r="Y56">
        <v>2.05</v>
      </c>
      <c r="AA56">
        <v>5.15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5.15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2.05</v>
      </c>
      <c r="AV56">
        <v>0</v>
      </c>
      <c r="AW56">
        <v>2</v>
      </c>
      <c r="AX56">
        <v>44571499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Y56*Source!I86</f>
        <v>1.886</v>
      </c>
      <c r="CY56">
        <f t="shared" si="9"/>
        <v>5.15</v>
      </c>
      <c r="CZ56">
        <f t="shared" si="10"/>
        <v>1</v>
      </c>
      <c r="DA56">
        <f t="shared" si="11"/>
        <v>5.15</v>
      </c>
      <c r="DB56">
        <f t="shared" si="12"/>
        <v>2.05</v>
      </c>
      <c r="DC56">
        <f t="shared" si="13"/>
        <v>0</v>
      </c>
    </row>
    <row r="57" spans="1:107" ht="12.75">
      <c r="A57">
        <f>ROW(Source!A87)</f>
        <v>87</v>
      </c>
      <c r="B57">
        <v>44571020</v>
      </c>
      <c r="C57">
        <v>44571500</v>
      </c>
      <c r="D57">
        <v>9915120</v>
      </c>
      <c r="E57">
        <v>1</v>
      </c>
      <c r="F57">
        <v>1</v>
      </c>
      <c r="G57">
        <v>1</v>
      </c>
      <c r="H57">
        <v>1</v>
      </c>
      <c r="I57" t="s">
        <v>500</v>
      </c>
      <c r="K57" t="s">
        <v>501</v>
      </c>
      <c r="L57">
        <v>1191</v>
      </c>
      <c r="N57">
        <v>1013</v>
      </c>
      <c r="O57" t="s">
        <v>445</v>
      </c>
      <c r="P57" t="s">
        <v>445</v>
      </c>
      <c r="Q57">
        <v>1</v>
      </c>
      <c r="W57">
        <v>0</v>
      </c>
      <c r="X57">
        <v>1028592258</v>
      </c>
      <c r="Y57">
        <v>20.2032</v>
      </c>
      <c r="AA57">
        <v>0</v>
      </c>
      <c r="AB57">
        <v>0</v>
      </c>
      <c r="AC57">
        <v>0</v>
      </c>
      <c r="AD57">
        <v>270.5</v>
      </c>
      <c r="AE57">
        <v>0</v>
      </c>
      <c r="AF57">
        <v>0</v>
      </c>
      <c r="AG57">
        <v>0</v>
      </c>
      <c r="AH57">
        <v>9.35</v>
      </c>
      <c r="AI57">
        <v>1</v>
      </c>
      <c r="AJ57">
        <v>1</v>
      </c>
      <c r="AK57">
        <v>1</v>
      </c>
      <c r="AL57">
        <v>28.93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14.64</v>
      </c>
      <c r="AU57" t="s">
        <v>22</v>
      </c>
      <c r="AV57">
        <v>1</v>
      </c>
      <c r="AW57">
        <v>2</v>
      </c>
      <c r="AX57">
        <v>44571511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Y57*Source!I87</f>
        <v>20.2032</v>
      </c>
      <c r="CY57">
        <f>AD57</f>
        <v>270.5</v>
      </c>
      <c r="CZ57">
        <f>AH57</f>
        <v>9.35</v>
      </c>
      <c r="DA57">
        <f>AL57</f>
        <v>28.93</v>
      </c>
      <c r="DB57">
        <f aca="true" t="shared" si="14" ref="DB57:DB62">ROUND((ROUND(AT57*CZ57,2)*ROUND((1.2*1.15),7)),2)</f>
        <v>188.89</v>
      </c>
      <c r="DC57">
        <f aca="true" t="shared" si="15" ref="DC57:DC62">ROUND((ROUND(AT57*AG57,2)*ROUND((1.2*1.15),7)),2)</f>
        <v>0</v>
      </c>
    </row>
    <row r="58" spans="1:107" ht="12.75">
      <c r="A58">
        <f>ROW(Source!A87)</f>
        <v>87</v>
      </c>
      <c r="B58">
        <v>44571020</v>
      </c>
      <c r="C58">
        <v>44571500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28</v>
      </c>
      <c r="K58" t="s">
        <v>446</v>
      </c>
      <c r="L58">
        <v>608254</v>
      </c>
      <c r="N58">
        <v>1013</v>
      </c>
      <c r="O58" t="s">
        <v>447</v>
      </c>
      <c r="P58" t="s">
        <v>447</v>
      </c>
      <c r="Q58">
        <v>1</v>
      </c>
      <c r="W58">
        <v>0</v>
      </c>
      <c r="X58">
        <v>-185737400</v>
      </c>
      <c r="Y58">
        <v>0.27599999999999997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28.93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0.2</v>
      </c>
      <c r="AU58" t="s">
        <v>22</v>
      </c>
      <c r="AV58">
        <v>2</v>
      </c>
      <c r="AW58">
        <v>2</v>
      </c>
      <c r="AX58">
        <v>44571512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Y58*Source!I87</f>
        <v>0.27599999999999997</v>
      </c>
      <c r="CY58">
        <f>AD58</f>
        <v>0</v>
      </c>
      <c r="CZ58">
        <f>AH58</f>
        <v>0</v>
      </c>
      <c r="DA58">
        <f>AL58</f>
        <v>1</v>
      </c>
      <c r="DB58">
        <f t="shared" si="14"/>
        <v>0</v>
      </c>
      <c r="DC58">
        <f t="shared" si="15"/>
        <v>0</v>
      </c>
    </row>
    <row r="59" spans="1:107" ht="12.75">
      <c r="A59">
        <f>ROW(Source!A87)</f>
        <v>87</v>
      </c>
      <c r="B59">
        <v>44571020</v>
      </c>
      <c r="C59">
        <v>44571500</v>
      </c>
      <c r="D59">
        <v>13901789</v>
      </c>
      <c r="E59">
        <v>1</v>
      </c>
      <c r="F59">
        <v>1</v>
      </c>
      <c r="G59">
        <v>1</v>
      </c>
      <c r="H59">
        <v>2</v>
      </c>
      <c r="I59" t="s">
        <v>506</v>
      </c>
      <c r="J59" t="s">
        <v>507</v>
      </c>
      <c r="K59" t="s">
        <v>508</v>
      </c>
      <c r="L59">
        <v>1368</v>
      </c>
      <c r="N59">
        <v>1011</v>
      </c>
      <c r="O59" t="s">
        <v>453</v>
      </c>
      <c r="P59" t="s">
        <v>453</v>
      </c>
      <c r="Q59">
        <v>1</v>
      </c>
      <c r="W59">
        <v>0</v>
      </c>
      <c r="X59">
        <v>2102783</v>
      </c>
      <c r="Y59">
        <v>0.27599999999999997</v>
      </c>
      <c r="AA59">
        <v>0</v>
      </c>
      <c r="AB59">
        <v>1209.88</v>
      </c>
      <c r="AC59">
        <v>379.56</v>
      </c>
      <c r="AD59">
        <v>0</v>
      </c>
      <c r="AE59">
        <v>0</v>
      </c>
      <c r="AF59">
        <v>156.72</v>
      </c>
      <c r="AG59">
        <v>13.12</v>
      </c>
      <c r="AH59">
        <v>0</v>
      </c>
      <c r="AI59">
        <v>1</v>
      </c>
      <c r="AJ59">
        <v>7.72</v>
      </c>
      <c r="AK59">
        <v>28.93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0.2</v>
      </c>
      <c r="AU59" t="s">
        <v>22</v>
      </c>
      <c r="AV59">
        <v>0</v>
      </c>
      <c r="AW59">
        <v>2</v>
      </c>
      <c r="AX59">
        <v>44571513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Y59*Source!I87</f>
        <v>0.27599999999999997</v>
      </c>
      <c r="CY59">
        <f>AB59</f>
        <v>1209.88</v>
      </c>
      <c r="CZ59">
        <f>AF59</f>
        <v>156.72</v>
      </c>
      <c r="DA59">
        <f>AJ59</f>
        <v>7.72</v>
      </c>
      <c r="DB59">
        <f t="shared" si="14"/>
        <v>43.25</v>
      </c>
      <c r="DC59">
        <f t="shared" si="15"/>
        <v>3.62</v>
      </c>
    </row>
    <row r="60" spans="1:107" ht="12.75">
      <c r="A60">
        <f>ROW(Source!A87)</f>
        <v>87</v>
      </c>
      <c r="B60">
        <v>44571020</v>
      </c>
      <c r="C60">
        <v>44571500</v>
      </c>
      <c r="D60">
        <v>13901897</v>
      </c>
      <c r="E60">
        <v>1</v>
      </c>
      <c r="F60">
        <v>1</v>
      </c>
      <c r="G60">
        <v>1</v>
      </c>
      <c r="H60">
        <v>2</v>
      </c>
      <c r="I60" t="s">
        <v>509</v>
      </c>
      <c r="J60" t="s">
        <v>510</v>
      </c>
      <c r="K60" t="s">
        <v>511</v>
      </c>
      <c r="L60">
        <v>1368</v>
      </c>
      <c r="N60">
        <v>1011</v>
      </c>
      <c r="O60" t="s">
        <v>453</v>
      </c>
      <c r="P60" t="s">
        <v>453</v>
      </c>
      <c r="Q60">
        <v>1</v>
      </c>
      <c r="W60">
        <v>0</v>
      </c>
      <c r="X60">
        <v>-1862098278</v>
      </c>
      <c r="Y60">
        <v>4.705799999999999</v>
      </c>
      <c r="AA60">
        <v>0</v>
      </c>
      <c r="AB60">
        <v>20.84</v>
      </c>
      <c r="AC60">
        <v>0</v>
      </c>
      <c r="AD60">
        <v>0</v>
      </c>
      <c r="AE60">
        <v>0</v>
      </c>
      <c r="AF60">
        <v>2.7</v>
      </c>
      <c r="AG60">
        <v>0</v>
      </c>
      <c r="AH60">
        <v>0</v>
      </c>
      <c r="AI60">
        <v>1</v>
      </c>
      <c r="AJ60">
        <v>7.72</v>
      </c>
      <c r="AK60">
        <v>28.93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3.41</v>
      </c>
      <c r="AU60" t="s">
        <v>22</v>
      </c>
      <c r="AV60">
        <v>0</v>
      </c>
      <c r="AW60">
        <v>2</v>
      </c>
      <c r="AX60">
        <v>44571514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Y60*Source!I87</f>
        <v>4.705799999999999</v>
      </c>
      <c r="CY60">
        <f>AB60</f>
        <v>20.84</v>
      </c>
      <c r="CZ60">
        <f>AF60</f>
        <v>2.7</v>
      </c>
      <c r="DA60">
        <f>AJ60</f>
        <v>7.72</v>
      </c>
      <c r="DB60">
        <f t="shared" si="14"/>
        <v>12.71</v>
      </c>
      <c r="DC60">
        <f t="shared" si="15"/>
        <v>0</v>
      </c>
    </row>
    <row r="61" spans="1:107" ht="12.75">
      <c r="A61">
        <f>ROW(Source!A87)</f>
        <v>87</v>
      </c>
      <c r="B61">
        <v>44571020</v>
      </c>
      <c r="C61">
        <v>44571500</v>
      </c>
      <c r="D61">
        <v>13901915</v>
      </c>
      <c r="E61">
        <v>1</v>
      </c>
      <c r="F61">
        <v>1</v>
      </c>
      <c r="G61">
        <v>1</v>
      </c>
      <c r="H61">
        <v>2</v>
      </c>
      <c r="I61" t="s">
        <v>512</v>
      </c>
      <c r="J61" t="s">
        <v>513</v>
      </c>
      <c r="K61" t="s">
        <v>514</v>
      </c>
      <c r="L61">
        <v>1368</v>
      </c>
      <c r="N61">
        <v>1011</v>
      </c>
      <c r="O61" t="s">
        <v>453</v>
      </c>
      <c r="P61" t="s">
        <v>453</v>
      </c>
      <c r="Q61">
        <v>1</v>
      </c>
      <c r="W61">
        <v>0</v>
      </c>
      <c r="X61">
        <v>-122613164</v>
      </c>
      <c r="Y61">
        <v>4.705799999999999</v>
      </c>
      <c r="AA61">
        <v>0</v>
      </c>
      <c r="AB61">
        <v>35.59</v>
      </c>
      <c r="AC61">
        <v>0</v>
      </c>
      <c r="AD61">
        <v>0</v>
      </c>
      <c r="AE61">
        <v>0</v>
      </c>
      <c r="AF61">
        <v>4.61</v>
      </c>
      <c r="AG61">
        <v>0</v>
      </c>
      <c r="AH61">
        <v>0</v>
      </c>
      <c r="AI61">
        <v>1</v>
      </c>
      <c r="AJ61">
        <v>7.72</v>
      </c>
      <c r="AK61">
        <v>28.93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3.41</v>
      </c>
      <c r="AU61" t="s">
        <v>22</v>
      </c>
      <c r="AV61">
        <v>0</v>
      </c>
      <c r="AW61">
        <v>2</v>
      </c>
      <c r="AX61">
        <v>44571515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Y61*Source!I87</f>
        <v>4.705799999999999</v>
      </c>
      <c r="CY61">
        <f>AB61</f>
        <v>35.59</v>
      </c>
      <c r="CZ61">
        <f>AF61</f>
        <v>4.61</v>
      </c>
      <c r="DA61">
        <f>AJ61</f>
        <v>7.72</v>
      </c>
      <c r="DB61">
        <f t="shared" si="14"/>
        <v>21.69</v>
      </c>
      <c r="DC61">
        <f t="shared" si="15"/>
        <v>0</v>
      </c>
    </row>
    <row r="62" spans="1:107" ht="12.75">
      <c r="A62">
        <f>ROW(Source!A87)</f>
        <v>87</v>
      </c>
      <c r="B62">
        <v>44571020</v>
      </c>
      <c r="C62">
        <v>44571500</v>
      </c>
      <c r="D62">
        <v>13904227</v>
      </c>
      <c r="E62">
        <v>1</v>
      </c>
      <c r="F62">
        <v>1</v>
      </c>
      <c r="G62">
        <v>1</v>
      </c>
      <c r="H62">
        <v>2</v>
      </c>
      <c r="I62" t="s">
        <v>482</v>
      </c>
      <c r="J62" t="s">
        <v>483</v>
      </c>
      <c r="K62" t="s">
        <v>484</v>
      </c>
      <c r="L62">
        <v>1368</v>
      </c>
      <c r="N62">
        <v>1011</v>
      </c>
      <c r="O62" t="s">
        <v>453</v>
      </c>
      <c r="P62" t="s">
        <v>453</v>
      </c>
      <c r="Q62">
        <v>1</v>
      </c>
      <c r="W62">
        <v>0</v>
      </c>
      <c r="X62">
        <v>1849659131</v>
      </c>
      <c r="Y62">
        <v>0.27599999999999997</v>
      </c>
      <c r="AA62">
        <v>0</v>
      </c>
      <c r="AB62">
        <v>623.39</v>
      </c>
      <c r="AC62">
        <v>0</v>
      </c>
      <c r="AD62">
        <v>0</v>
      </c>
      <c r="AE62">
        <v>0</v>
      </c>
      <c r="AF62">
        <v>80.75</v>
      </c>
      <c r="AG62">
        <v>0</v>
      </c>
      <c r="AH62">
        <v>0</v>
      </c>
      <c r="AI62">
        <v>1</v>
      </c>
      <c r="AJ62">
        <v>7.72</v>
      </c>
      <c r="AK62">
        <v>28.93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0.2</v>
      </c>
      <c r="AU62" t="s">
        <v>22</v>
      </c>
      <c r="AV62">
        <v>0</v>
      </c>
      <c r="AW62">
        <v>2</v>
      </c>
      <c r="AX62">
        <v>44571516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Y62*Source!I87</f>
        <v>0.27599999999999997</v>
      </c>
      <c r="CY62">
        <f>AB62</f>
        <v>623.39</v>
      </c>
      <c r="CZ62">
        <f>AF62</f>
        <v>80.75</v>
      </c>
      <c r="DA62">
        <f>AJ62</f>
        <v>7.72</v>
      </c>
      <c r="DB62">
        <f t="shared" si="14"/>
        <v>22.29</v>
      </c>
      <c r="DC62">
        <f t="shared" si="15"/>
        <v>0</v>
      </c>
    </row>
    <row r="63" spans="1:107" ht="12.75">
      <c r="A63">
        <f>ROW(Source!A87)</f>
        <v>87</v>
      </c>
      <c r="B63">
        <v>44571020</v>
      </c>
      <c r="C63">
        <v>44571500</v>
      </c>
      <c r="D63">
        <v>13908341</v>
      </c>
      <c r="E63">
        <v>1</v>
      </c>
      <c r="F63">
        <v>1</v>
      </c>
      <c r="G63">
        <v>1</v>
      </c>
      <c r="H63">
        <v>3</v>
      </c>
      <c r="I63" t="s">
        <v>524</v>
      </c>
      <c r="J63" t="s">
        <v>525</v>
      </c>
      <c r="K63" t="s">
        <v>526</v>
      </c>
      <c r="L63">
        <v>1308</v>
      </c>
      <c r="N63">
        <v>1003</v>
      </c>
      <c r="O63" t="s">
        <v>527</v>
      </c>
      <c r="P63" t="s">
        <v>527</v>
      </c>
      <c r="Q63">
        <v>100</v>
      </c>
      <c r="W63">
        <v>0</v>
      </c>
      <c r="X63">
        <v>2010740808</v>
      </c>
      <c r="Y63">
        <v>0.0096</v>
      </c>
      <c r="AA63">
        <v>594.57</v>
      </c>
      <c r="AB63">
        <v>0</v>
      </c>
      <c r="AC63">
        <v>0</v>
      </c>
      <c r="AD63">
        <v>0</v>
      </c>
      <c r="AE63">
        <v>115.45</v>
      </c>
      <c r="AF63">
        <v>0</v>
      </c>
      <c r="AG63">
        <v>0</v>
      </c>
      <c r="AH63">
        <v>0</v>
      </c>
      <c r="AI63">
        <v>5.15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0.0096</v>
      </c>
      <c r="AV63">
        <v>0</v>
      </c>
      <c r="AW63">
        <v>2</v>
      </c>
      <c r="AX63">
        <v>44571517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Y63*Source!I87</f>
        <v>0.0096</v>
      </c>
      <c r="CY63">
        <f>AA63</f>
        <v>594.57</v>
      </c>
      <c r="CZ63">
        <f>AE63</f>
        <v>115.45</v>
      </c>
      <c r="DA63">
        <f>AI63</f>
        <v>5.15</v>
      </c>
      <c r="DB63">
        <f>ROUND(ROUND(AT63*CZ63,2),2)</f>
        <v>1.11</v>
      </c>
      <c r="DC63">
        <f>ROUND(ROUND(AT63*AG63,2),2)</f>
        <v>0</v>
      </c>
    </row>
    <row r="64" spans="1:107" ht="12.75">
      <c r="A64">
        <f>ROW(Source!A87)</f>
        <v>87</v>
      </c>
      <c r="B64">
        <v>44571020</v>
      </c>
      <c r="C64">
        <v>44571500</v>
      </c>
      <c r="D64">
        <v>13930780</v>
      </c>
      <c r="E64">
        <v>1</v>
      </c>
      <c r="F64">
        <v>1</v>
      </c>
      <c r="G64">
        <v>1</v>
      </c>
      <c r="H64">
        <v>3</v>
      </c>
      <c r="I64" t="s">
        <v>528</v>
      </c>
      <c r="J64" t="s">
        <v>529</v>
      </c>
      <c r="K64" t="s">
        <v>530</v>
      </c>
      <c r="L64">
        <v>1348</v>
      </c>
      <c r="N64">
        <v>1009</v>
      </c>
      <c r="O64" t="s">
        <v>322</v>
      </c>
      <c r="P64" t="s">
        <v>322</v>
      </c>
      <c r="Q64">
        <v>1000</v>
      </c>
      <c r="W64">
        <v>0</v>
      </c>
      <c r="X64">
        <v>-1075176237</v>
      </c>
      <c r="Y64">
        <v>6E-05</v>
      </c>
      <c r="AA64">
        <v>48128.4</v>
      </c>
      <c r="AB64">
        <v>0</v>
      </c>
      <c r="AC64">
        <v>0</v>
      </c>
      <c r="AD64">
        <v>0</v>
      </c>
      <c r="AE64">
        <v>9345.32</v>
      </c>
      <c r="AF64">
        <v>0</v>
      </c>
      <c r="AG64">
        <v>0</v>
      </c>
      <c r="AH64">
        <v>0</v>
      </c>
      <c r="AI64">
        <v>5.15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6E-05</v>
      </c>
      <c r="AV64">
        <v>0</v>
      </c>
      <c r="AW64">
        <v>2</v>
      </c>
      <c r="AX64">
        <v>44571518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Y64*Source!I87</f>
        <v>6E-05</v>
      </c>
      <c r="CY64">
        <f>AA64</f>
        <v>48128.4</v>
      </c>
      <c r="CZ64">
        <f>AE64</f>
        <v>9345.32</v>
      </c>
      <c r="DA64">
        <f>AI64</f>
        <v>5.15</v>
      </c>
      <c r="DB64">
        <f>ROUND(ROUND(AT64*CZ64,2),2)</f>
        <v>0.56</v>
      </c>
      <c r="DC64">
        <f>ROUND(ROUND(AT64*AG64,2),2)</f>
        <v>0</v>
      </c>
    </row>
    <row r="65" spans="1:107" ht="12.75">
      <c r="A65">
        <f>ROW(Source!A87)</f>
        <v>87</v>
      </c>
      <c r="B65">
        <v>44571020</v>
      </c>
      <c r="C65">
        <v>44571500</v>
      </c>
      <c r="D65">
        <v>13998519</v>
      </c>
      <c r="E65">
        <v>1</v>
      </c>
      <c r="F65">
        <v>1</v>
      </c>
      <c r="G65">
        <v>1</v>
      </c>
      <c r="H65">
        <v>3</v>
      </c>
      <c r="I65" t="s">
        <v>531</v>
      </c>
      <c r="J65" t="s">
        <v>532</v>
      </c>
      <c r="K65" t="s">
        <v>533</v>
      </c>
      <c r="L65">
        <v>1346</v>
      </c>
      <c r="N65">
        <v>1009</v>
      </c>
      <c r="O65" t="s">
        <v>222</v>
      </c>
      <c r="P65" t="s">
        <v>222</v>
      </c>
      <c r="Q65">
        <v>1</v>
      </c>
      <c r="W65">
        <v>0</v>
      </c>
      <c r="X65">
        <v>551678104</v>
      </c>
      <c r="Y65">
        <v>0.5</v>
      </c>
      <c r="AA65">
        <v>338.56</v>
      </c>
      <c r="AB65">
        <v>0</v>
      </c>
      <c r="AC65">
        <v>0</v>
      </c>
      <c r="AD65">
        <v>0</v>
      </c>
      <c r="AE65">
        <v>65.74</v>
      </c>
      <c r="AF65">
        <v>0</v>
      </c>
      <c r="AG65">
        <v>0</v>
      </c>
      <c r="AH65">
        <v>0</v>
      </c>
      <c r="AI65">
        <v>5.15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0.5</v>
      </c>
      <c r="AV65">
        <v>0</v>
      </c>
      <c r="AW65">
        <v>2</v>
      </c>
      <c r="AX65">
        <v>44571519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Y65*Source!I87</f>
        <v>0.5</v>
      </c>
      <c r="CY65">
        <f>AA65</f>
        <v>338.56</v>
      </c>
      <c r="CZ65">
        <f>AE65</f>
        <v>65.74</v>
      </c>
      <c r="DA65">
        <f>AI65</f>
        <v>5.15</v>
      </c>
      <c r="DB65">
        <f>ROUND(ROUND(AT65*CZ65,2),2)</f>
        <v>32.87</v>
      </c>
      <c r="DC65">
        <f>ROUND(ROUND(AT65*AG65,2),2)</f>
        <v>0</v>
      </c>
    </row>
    <row r="66" spans="1:107" ht="12.75">
      <c r="A66">
        <f>ROW(Source!A87)</f>
        <v>87</v>
      </c>
      <c r="B66">
        <v>44571020</v>
      </c>
      <c r="C66">
        <v>44571500</v>
      </c>
      <c r="D66">
        <v>14105700</v>
      </c>
      <c r="E66">
        <v>1</v>
      </c>
      <c r="F66">
        <v>1</v>
      </c>
      <c r="G66">
        <v>1</v>
      </c>
      <c r="H66">
        <v>3</v>
      </c>
      <c r="I66" t="s">
        <v>502</v>
      </c>
      <c r="J66" t="s">
        <v>503</v>
      </c>
      <c r="K66" t="s">
        <v>504</v>
      </c>
      <c r="L66">
        <v>1374</v>
      </c>
      <c r="N66">
        <v>1013</v>
      </c>
      <c r="O66" t="s">
        <v>505</v>
      </c>
      <c r="P66" t="s">
        <v>505</v>
      </c>
      <c r="Q66">
        <v>1</v>
      </c>
      <c r="W66">
        <v>0</v>
      </c>
      <c r="X66">
        <v>1723657366</v>
      </c>
      <c r="Y66">
        <v>2.74</v>
      </c>
      <c r="AA66">
        <v>5.15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5.15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2.74</v>
      </c>
      <c r="AV66">
        <v>0</v>
      </c>
      <c r="AW66">
        <v>2</v>
      </c>
      <c r="AX66">
        <v>44571520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Y66*Source!I87</f>
        <v>2.74</v>
      </c>
      <c r="CY66">
        <f>AA66</f>
        <v>5.15</v>
      </c>
      <c r="CZ66">
        <f>AE66</f>
        <v>1</v>
      </c>
      <c r="DA66">
        <f>AI66</f>
        <v>5.15</v>
      </c>
      <c r="DB66">
        <f>ROUND(ROUND(AT66*CZ66,2),2)</f>
        <v>2.74</v>
      </c>
      <c r="DC66">
        <f>ROUND(ROUND(AT66*AG66,2),2)</f>
        <v>0</v>
      </c>
    </row>
    <row r="67" spans="1:107" ht="12.75">
      <c r="A67">
        <f>ROW(Source!A88)</f>
        <v>88</v>
      </c>
      <c r="B67">
        <v>44571020</v>
      </c>
      <c r="C67">
        <v>44571521</v>
      </c>
      <c r="D67">
        <v>9915120</v>
      </c>
      <c r="E67">
        <v>1</v>
      </c>
      <c r="F67">
        <v>1</v>
      </c>
      <c r="G67">
        <v>1</v>
      </c>
      <c r="H67">
        <v>1</v>
      </c>
      <c r="I67" t="s">
        <v>500</v>
      </c>
      <c r="K67" t="s">
        <v>501</v>
      </c>
      <c r="L67">
        <v>1191</v>
      </c>
      <c r="N67">
        <v>1013</v>
      </c>
      <c r="O67" t="s">
        <v>445</v>
      </c>
      <c r="P67" t="s">
        <v>445</v>
      </c>
      <c r="Q67">
        <v>1</v>
      </c>
      <c r="W67">
        <v>0</v>
      </c>
      <c r="X67">
        <v>1028592258</v>
      </c>
      <c r="Y67">
        <v>23.328000000000003</v>
      </c>
      <c r="AA67">
        <v>0</v>
      </c>
      <c r="AB67">
        <v>0</v>
      </c>
      <c r="AC67">
        <v>0</v>
      </c>
      <c r="AD67">
        <v>270.5</v>
      </c>
      <c r="AE67">
        <v>0</v>
      </c>
      <c r="AF67">
        <v>0</v>
      </c>
      <c r="AG67">
        <v>0</v>
      </c>
      <c r="AH67">
        <v>9.35</v>
      </c>
      <c r="AI67">
        <v>1</v>
      </c>
      <c r="AJ67">
        <v>1</v>
      </c>
      <c r="AK67">
        <v>1</v>
      </c>
      <c r="AL67">
        <v>28.93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17.28</v>
      </c>
      <c r="AU67" t="s">
        <v>191</v>
      </c>
      <c r="AV67">
        <v>1</v>
      </c>
      <c r="AW67">
        <v>2</v>
      </c>
      <c r="AX67">
        <v>44571533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Y67*Source!I88</f>
        <v>0.69984</v>
      </c>
      <c r="CY67">
        <f>AD67</f>
        <v>270.5</v>
      </c>
      <c r="CZ67">
        <f>AH67</f>
        <v>9.35</v>
      </c>
      <c r="DA67">
        <f>AL67</f>
        <v>28.93</v>
      </c>
      <c r="DB67">
        <f aca="true" t="shared" si="16" ref="DB67:DB72">ROUND((ROUND(AT67*CZ67,2)*ROUND(1.35,7)),2)</f>
        <v>218.12</v>
      </c>
      <c r="DC67">
        <f aca="true" t="shared" si="17" ref="DC67:DC72">ROUND((ROUND(AT67*AG67,2)*ROUND(1.35,7)),2)</f>
        <v>0</v>
      </c>
    </row>
    <row r="68" spans="1:107" ht="12.75">
      <c r="A68">
        <f>ROW(Source!A88)</f>
        <v>88</v>
      </c>
      <c r="B68">
        <v>44571020</v>
      </c>
      <c r="C68">
        <v>44571521</v>
      </c>
      <c r="D68">
        <v>121548</v>
      </c>
      <c r="E68">
        <v>1</v>
      </c>
      <c r="F68">
        <v>1</v>
      </c>
      <c r="G68">
        <v>1</v>
      </c>
      <c r="H68">
        <v>1</v>
      </c>
      <c r="I68" t="s">
        <v>28</v>
      </c>
      <c r="K68" t="s">
        <v>446</v>
      </c>
      <c r="L68">
        <v>608254</v>
      </c>
      <c r="N68">
        <v>1013</v>
      </c>
      <c r="O68" t="s">
        <v>447</v>
      </c>
      <c r="P68" t="s">
        <v>447</v>
      </c>
      <c r="Q68">
        <v>1</v>
      </c>
      <c r="W68">
        <v>0</v>
      </c>
      <c r="X68">
        <v>-185737400</v>
      </c>
      <c r="Y68">
        <v>0.27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28.93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0.2</v>
      </c>
      <c r="AU68" t="s">
        <v>191</v>
      </c>
      <c r="AV68">
        <v>2</v>
      </c>
      <c r="AW68">
        <v>2</v>
      </c>
      <c r="AX68">
        <v>44571534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Y68*Source!I88</f>
        <v>0.0081</v>
      </c>
      <c r="CY68">
        <f>AD68</f>
        <v>0</v>
      </c>
      <c r="CZ68">
        <f>AH68</f>
        <v>0</v>
      </c>
      <c r="DA68">
        <f>AL68</f>
        <v>1</v>
      </c>
      <c r="DB68">
        <f t="shared" si="16"/>
        <v>0</v>
      </c>
      <c r="DC68">
        <f t="shared" si="17"/>
        <v>0</v>
      </c>
    </row>
    <row r="69" spans="1:107" ht="12.75">
      <c r="A69">
        <f>ROW(Source!A88)</f>
        <v>88</v>
      </c>
      <c r="B69">
        <v>44571020</v>
      </c>
      <c r="C69">
        <v>44571521</v>
      </c>
      <c r="D69">
        <v>13901789</v>
      </c>
      <c r="E69">
        <v>1</v>
      </c>
      <c r="F69">
        <v>1</v>
      </c>
      <c r="G69">
        <v>1</v>
      </c>
      <c r="H69">
        <v>2</v>
      </c>
      <c r="I69" t="s">
        <v>506</v>
      </c>
      <c r="J69" t="s">
        <v>507</v>
      </c>
      <c r="K69" t="s">
        <v>508</v>
      </c>
      <c r="L69">
        <v>1368</v>
      </c>
      <c r="N69">
        <v>1011</v>
      </c>
      <c r="O69" t="s">
        <v>453</v>
      </c>
      <c r="P69" t="s">
        <v>453</v>
      </c>
      <c r="Q69">
        <v>1</v>
      </c>
      <c r="W69">
        <v>0</v>
      </c>
      <c r="X69">
        <v>2102783</v>
      </c>
      <c r="Y69">
        <v>0.27</v>
      </c>
      <c r="AA69">
        <v>0</v>
      </c>
      <c r="AB69">
        <v>1209.88</v>
      </c>
      <c r="AC69">
        <v>379.56</v>
      </c>
      <c r="AD69">
        <v>0</v>
      </c>
      <c r="AE69">
        <v>0</v>
      </c>
      <c r="AF69">
        <v>156.72</v>
      </c>
      <c r="AG69">
        <v>13.12</v>
      </c>
      <c r="AH69">
        <v>0</v>
      </c>
      <c r="AI69">
        <v>1</v>
      </c>
      <c r="AJ69">
        <v>7.72</v>
      </c>
      <c r="AK69">
        <v>28.93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0.2</v>
      </c>
      <c r="AU69" t="s">
        <v>191</v>
      </c>
      <c r="AV69">
        <v>0</v>
      </c>
      <c r="AW69">
        <v>2</v>
      </c>
      <c r="AX69">
        <v>44571535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Y69*Source!I88</f>
        <v>0.0081</v>
      </c>
      <c r="CY69">
        <f>AB69</f>
        <v>1209.88</v>
      </c>
      <c r="CZ69">
        <f>AF69</f>
        <v>156.72</v>
      </c>
      <c r="DA69">
        <f>AJ69</f>
        <v>7.72</v>
      </c>
      <c r="DB69">
        <f t="shared" si="16"/>
        <v>42.31</v>
      </c>
      <c r="DC69">
        <f t="shared" si="17"/>
        <v>3.54</v>
      </c>
    </row>
    <row r="70" spans="1:107" ht="12.75">
      <c r="A70">
        <f>ROW(Source!A88)</f>
        <v>88</v>
      </c>
      <c r="B70">
        <v>44571020</v>
      </c>
      <c r="C70">
        <v>44571521</v>
      </c>
      <c r="D70">
        <v>13901897</v>
      </c>
      <c r="E70">
        <v>1</v>
      </c>
      <c r="F70">
        <v>1</v>
      </c>
      <c r="G70">
        <v>1</v>
      </c>
      <c r="H70">
        <v>2</v>
      </c>
      <c r="I70" t="s">
        <v>509</v>
      </c>
      <c r="J70" t="s">
        <v>510</v>
      </c>
      <c r="K70" t="s">
        <v>511</v>
      </c>
      <c r="L70">
        <v>1368</v>
      </c>
      <c r="N70">
        <v>1011</v>
      </c>
      <c r="O70" t="s">
        <v>453</v>
      </c>
      <c r="P70" t="s">
        <v>453</v>
      </c>
      <c r="Q70">
        <v>1</v>
      </c>
      <c r="W70">
        <v>0</v>
      </c>
      <c r="X70">
        <v>-1862098278</v>
      </c>
      <c r="Y70">
        <v>5.481</v>
      </c>
      <c r="AA70">
        <v>0</v>
      </c>
      <c r="AB70">
        <v>20.84</v>
      </c>
      <c r="AC70">
        <v>0</v>
      </c>
      <c r="AD70">
        <v>0</v>
      </c>
      <c r="AE70">
        <v>0</v>
      </c>
      <c r="AF70">
        <v>2.7</v>
      </c>
      <c r="AG70">
        <v>0</v>
      </c>
      <c r="AH70">
        <v>0</v>
      </c>
      <c r="AI70">
        <v>1</v>
      </c>
      <c r="AJ70">
        <v>7.72</v>
      </c>
      <c r="AK70">
        <v>28.93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4.06</v>
      </c>
      <c r="AU70" t="s">
        <v>191</v>
      </c>
      <c r="AV70">
        <v>0</v>
      </c>
      <c r="AW70">
        <v>2</v>
      </c>
      <c r="AX70">
        <v>44571536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Y70*Source!I88</f>
        <v>0.16443</v>
      </c>
      <c r="CY70">
        <f>AB70</f>
        <v>20.84</v>
      </c>
      <c r="CZ70">
        <f>AF70</f>
        <v>2.7</v>
      </c>
      <c r="DA70">
        <f>AJ70</f>
        <v>7.72</v>
      </c>
      <c r="DB70">
        <f t="shared" si="16"/>
        <v>14.8</v>
      </c>
      <c r="DC70">
        <f t="shared" si="17"/>
        <v>0</v>
      </c>
    </row>
    <row r="71" spans="1:107" ht="12.75">
      <c r="A71">
        <f>ROW(Source!A88)</f>
        <v>88</v>
      </c>
      <c r="B71">
        <v>44571020</v>
      </c>
      <c r="C71">
        <v>44571521</v>
      </c>
      <c r="D71">
        <v>13901915</v>
      </c>
      <c r="E71">
        <v>1</v>
      </c>
      <c r="F71">
        <v>1</v>
      </c>
      <c r="G71">
        <v>1</v>
      </c>
      <c r="H71">
        <v>2</v>
      </c>
      <c r="I71" t="s">
        <v>512</v>
      </c>
      <c r="J71" t="s">
        <v>513</v>
      </c>
      <c r="K71" t="s">
        <v>514</v>
      </c>
      <c r="L71">
        <v>1368</v>
      </c>
      <c r="N71">
        <v>1011</v>
      </c>
      <c r="O71" t="s">
        <v>453</v>
      </c>
      <c r="P71" t="s">
        <v>453</v>
      </c>
      <c r="Q71">
        <v>1</v>
      </c>
      <c r="W71">
        <v>0</v>
      </c>
      <c r="X71">
        <v>-122613164</v>
      </c>
      <c r="Y71">
        <v>5.481</v>
      </c>
      <c r="AA71">
        <v>0</v>
      </c>
      <c r="AB71">
        <v>35.59</v>
      </c>
      <c r="AC71">
        <v>0</v>
      </c>
      <c r="AD71">
        <v>0</v>
      </c>
      <c r="AE71">
        <v>0</v>
      </c>
      <c r="AF71">
        <v>4.61</v>
      </c>
      <c r="AG71">
        <v>0</v>
      </c>
      <c r="AH71">
        <v>0</v>
      </c>
      <c r="AI71">
        <v>1</v>
      </c>
      <c r="AJ71">
        <v>7.72</v>
      </c>
      <c r="AK71">
        <v>28.93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4.06</v>
      </c>
      <c r="AU71" t="s">
        <v>191</v>
      </c>
      <c r="AV71">
        <v>0</v>
      </c>
      <c r="AW71">
        <v>2</v>
      </c>
      <c r="AX71">
        <v>44571537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Y71*Source!I88</f>
        <v>0.16443</v>
      </c>
      <c r="CY71">
        <f>AB71</f>
        <v>35.59</v>
      </c>
      <c r="CZ71">
        <f>AF71</f>
        <v>4.61</v>
      </c>
      <c r="DA71">
        <f>AJ71</f>
        <v>7.72</v>
      </c>
      <c r="DB71">
        <f t="shared" si="16"/>
        <v>25.27</v>
      </c>
      <c r="DC71">
        <f t="shared" si="17"/>
        <v>0</v>
      </c>
    </row>
    <row r="72" spans="1:107" ht="12.75">
      <c r="A72">
        <f>ROW(Source!A88)</f>
        <v>88</v>
      </c>
      <c r="B72">
        <v>44571020</v>
      </c>
      <c r="C72">
        <v>44571521</v>
      </c>
      <c r="D72">
        <v>13904227</v>
      </c>
      <c r="E72">
        <v>1</v>
      </c>
      <c r="F72">
        <v>1</v>
      </c>
      <c r="G72">
        <v>1</v>
      </c>
      <c r="H72">
        <v>2</v>
      </c>
      <c r="I72" t="s">
        <v>482</v>
      </c>
      <c r="J72" t="s">
        <v>483</v>
      </c>
      <c r="K72" t="s">
        <v>484</v>
      </c>
      <c r="L72">
        <v>1368</v>
      </c>
      <c r="N72">
        <v>1011</v>
      </c>
      <c r="O72" t="s">
        <v>453</v>
      </c>
      <c r="P72" t="s">
        <v>453</v>
      </c>
      <c r="Q72">
        <v>1</v>
      </c>
      <c r="W72">
        <v>0</v>
      </c>
      <c r="X72">
        <v>1849659131</v>
      </c>
      <c r="Y72">
        <v>0.27</v>
      </c>
      <c r="AA72">
        <v>0</v>
      </c>
      <c r="AB72">
        <v>623.39</v>
      </c>
      <c r="AC72">
        <v>0</v>
      </c>
      <c r="AD72">
        <v>0</v>
      </c>
      <c r="AE72">
        <v>0</v>
      </c>
      <c r="AF72">
        <v>80.75</v>
      </c>
      <c r="AG72">
        <v>0</v>
      </c>
      <c r="AH72">
        <v>0</v>
      </c>
      <c r="AI72">
        <v>1</v>
      </c>
      <c r="AJ72">
        <v>7.72</v>
      </c>
      <c r="AK72">
        <v>28.93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0.2</v>
      </c>
      <c r="AU72" t="s">
        <v>191</v>
      </c>
      <c r="AV72">
        <v>0</v>
      </c>
      <c r="AW72">
        <v>2</v>
      </c>
      <c r="AX72">
        <v>44571538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Y72*Source!I88</f>
        <v>0.0081</v>
      </c>
      <c r="CY72">
        <f>AB72</f>
        <v>623.39</v>
      </c>
      <c r="CZ72">
        <f>AF72</f>
        <v>80.75</v>
      </c>
      <c r="DA72">
        <f>AJ72</f>
        <v>7.72</v>
      </c>
      <c r="DB72">
        <f t="shared" si="16"/>
        <v>21.8</v>
      </c>
      <c r="DC72">
        <f t="shared" si="17"/>
        <v>0</v>
      </c>
    </row>
    <row r="73" spans="1:107" ht="12.75">
      <c r="A73">
        <f>ROW(Source!A88)</f>
        <v>88</v>
      </c>
      <c r="B73">
        <v>44571020</v>
      </c>
      <c r="C73">
        <v>44571521</v>
      </c>
      <c r="D73">
        <v>13907141</v>
      </c>
      <c r="E73">
        <v>1</v>
      </c>
      <c r="F73">
        <v>1</v>
      </c>
      <c r="G73">
        <v>1</v>
      </c>
      <c r="H73">
        <v>3</v>
      </c>
      <c r="I73" t="s">
        <v>534</v>
      </c>
      <c r="J73" t="s">
        <v>535</v>
      </c>
      <c r="K73" t="s">
        <v>536</v>
      </c>
      <c r="L73">
        <v>1348</v>
      </c>
      <c r="N73">
        <v>1009</v>
      </c>
      <c r="O73" t="s">
        <v>322</v>
      </c>
      <c r="P73" t="s">
        <v>322</v>
      </c>
      <c r="Q73">
        <v>1000</v>
      </c>
      <c r="W73">
        <v>0</v>
      </c>
      <c r="X73">
        <v>-1775764276</v>
      </c>
      <c r="Y73">
        <v>0.00062</v>
      </c>
      <c r="AA73">
        <v>82605.79</v>
      </c>
      <c r="AB73">
        <v>0</v>
      </c>
      <c r="AC73">
        <v>0</v>
      </c>
      <c r="AD73">
        <v>0</v>
      </c>
      <c r="AE73">
        <v>16039.96</v>
      </c>
      <c r="AF73">
        <v>0</v>
      </c>
      <c r="AG73">
        <v>0</v>
      </c>
      <c r="AH73">
        <v>0</v>
      </c>
      <c r="AI73">
        <v>5.15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0.00062</v>
      </c>
      <c r="AV73">
        <v>0</v>
      </c>
      <c r="AW73">
        <v>2</v>
      </c>
      <c r="AX73">
        <v>44571539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Y73*Source!I88</f>
        <v>1.8599999999999998E-05</v>
      </c>
      <c r="CY73">
        <f>AA73</f>
        <v>82605.79</v>
      </c>
      <c r="CZ73">
        <f>AE73</f>
        <v>16039.96</v>
      </c>
      <c r="DA73">
        <f>AI73</f>
        <v>5.15</v>
      </c>
      <c r="DB73">
        <f>ROUND(ROUND(AT73*CZ73,2),2)</f>
        <v>9.94</v>
      </c>
      <c r="DC73">
        <f>ROUND(ROUND(AT73*AG73,2),2)</f>
        <v>0</v>
      </c>
    </row>
    <row r="74" spans="1:107" ht="12.75">
      <c r="A74">
        <f>ROW(Source!A88)</f>
        <v>88</v>
      </c>
      <c r="B74">
        <v>44571020</v>
      </c>
      <c r="C74">
        <v>44571521</v>
      </c>
      <c r="D74">
        <v>13908341</v>
      </c>
      <c r="E74">
        <v>1</v>
      </c>
      <c r="F74">
        <v>1</v>
      </c>
      <c r="G74">
        <v>1</v>
      </c>
      <c r="H74">
        <v>3</v>
      </c>
      <c r="I74" t="s">
        <v>524</v>
      </c>
      <c r="J74" t="s">
        <v>525</v>
      </c>
      <c r="K74" t="s">
        <v>526</v>
      </c>
      <c r="L74">
        <v>1308</v>
      </c>
      <c r="N74">
        <v>1003</v>
      </c>
      <c r="O74" t="s">
        <v>527</v>
      </c>
      <c r="P74" t="s">
        <v>527</v>
      </c>
      <c r="Q74">
        <v>100</v>
      </c>
      <c r="W74">
        <v>0</v>
      </c>
      <c r="X74">
        <v>2010740808</v>
      </c>
      <c r="Y74">
        <v>0.0245</v>
      </c>
      <c r="AA74">
        <v>594.57</v>
      </c>
      <c r="AB74">
        <v>0</v>
      </c>
      <c r="AC74">
        <v>0</v>
      </c>
      <c r="AD74">
        <v>0</v>
      </c>
      <c r="AE74">
        <v>115.45</v>
      </c>
      <c r="AF74">
        <v>0</v>
      </c>
      <c r="AG74">
        <v>0</v>
      </c>
      <c r="AH74">
        <v>0</v>
      </c>
      <c r="AI74">
        <v>5.15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0.0245</v>
      </c>
      <c r="AV74">
        <v>0</v>
      </c>
      <c r="AW74">
        <v>2</v>
      </c>
      <c r="AX74">
        <v>44571540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Y74*Source!I88</f>
        <v>0.000735</v>
      </c>
      <c r="CY74">
        <f>AA74</f>
        <v>594.57</v>
      </c>
      <c r="CZ74">
        <f>AE74</f>
        <v>115.45</v>
      </c>
      <c r="DA74">
        <f>AI74</f>
        <v>5.15</v>
      </c>
      <c r="DB74">
        <f>ROUND(ROUND(AT74*CZ74,2),2)</f>
        <v>2.83</v>
      </c>
      <c r="DC74">
        <f>ROUND(ROUND(AT74*AG74,2),2)</f>
        <v>0</v>
      </c>
    </row>
    <row r="75" spans="1:107" ht="12.75">
      <c r="A75">
        <f>ROW(Source!A88)</f>
        <v>88</v>
      </c>
      <c r="B75">
        <v>44571020</v>
      </c>
      <c r="C75">
        <v>44571521</v>
      </c>
      <c r="D75">
        <v>13930780</v>
      </c>
      <c r="E75">
        <v>1</v>
      </c>
      <c r="F75">
        <v>1</v>
      </c>
      <c r="G75">
        <v>1</v>
      </c>
      <c r="H75">
        <v>3</v>
      </c>
      <c r="I75" t="s">
        <v>528</v>
      </c>
      <c r="J75" t="s">
        <v>529</v>
      </c>
      <c r="K75" t="s">
        <v>530</v>
      </c>
      <c r="L75">
        <v>1348</v>
      </c>
      <c r="N75">
        <v>1009</v>
      </c>
      <c r="O75" t="s">
        <v>322</v>
      </c>
      <c r="P75" t="s">
        <v>322</v>
      </c>
      <c r="Q75">
        <v>1000</v>
      </c>
      <c r="W75">
        <v>0</v>
      </c>
      <c r="X75">
        <v>-1075176237</v>
      </c>
      <c r="Y75">
        <v>0.00072</v>
      </c>
      <c r="AA75">
        <v>48128.4</v>
      </c>
      <c r="AB75">
        <v>0</v>
      </c>
      <c r="AC75">
        <v>0</v>
      </c>
      <c r="AD75">
        <v>0</v>
      </c>
      <c r="AE75">
        <v>9345.32</v>
      </c>
      <c r="AF75">
        <v>0</v>
      </c>
      <c r="AG75">
        <v>0</v>
      </c>
      <c r="AH75">
        <v>0</v>
      </c>
      <c r="AI75">
        <v>5.15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0.00072</v>
      </c>
      <c r="AV75">
        <v>0</v>
      </c>
      <c r="AW75">
        <v>2</v>
      </c>
      <c r="AX75">
        <v>44571541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Y75*Source!I88</f>
        <v>2.16E-05</v>
      </c>
      <c r="CY75">
        <f>AA75</f>
        <v>48128.4</v>
      </c>
      <c r="CZ75">
        <f>AE75</f>
        <v>9345.32</v>
      </c>
      <c r="DA75">
        <f>AI75</f>
        <v>5.15</v>
      </c>
      <c r="DB75">
        <f>ROUND(ROUND(AT75*CZ75,2),2)</f>
        <v>6.73</v>
      </c>
      <c r="DC75">
        <f>ROUND(ROUND(AT75*AG75,2),2)</f>
        <v>0</v>
      </c>
    </row>
    <row r="76" spans="1:107" ht="12.75">
      <c r="A76">
        <f>ROW(Source!A88)</f>
        <v>88</v>
      </c>
      <c r="B76">
        <v>44571020</v>
      </c>
      <c r="C76">
        <v>44571521</v>
      </c>
      <c r="D76">
        <v>13998519</v>
      </c>
      <c r="E76">
        <v>1</v>
      </c>
      <c r="F76">
        <v>1</v>
      </c>
      <c r="G76">
        <v>1</v>
      </c>
      <c r="H76">
        <v>3</v>
      </c>
      <c r="I76" t="s">
        <v>531</v>
      </c>
      <c r="J76" t="s">
        <v>532</v>
      </c>
      <c r="K76" t="s">
        <v>533</v>
      </c>
      <c r="L76">
        <v>1346</v>
      </c>
      <c r="N76">
        <v>1009</v>
      </c>
      <c r="O76" t="s">
        <v>222</v>
      </c>
      <c r="P76" t="s">
        <v>222</v>
      </c>
      <c r="Q76">
        <v>1</v>
      </c>
      <c r="W76">
        <v>0</v>
      </c>
      <c r="X76">
        <v>551678104</v>
      </c>
      <c r="Y76">
        <v>0.25</v>
      </c>
      <c r="AA76">
        <v>338.56</v>
      </c>
      <c r="AB76">
        <v>0</v>
      </c>
      <c r="AC76">
        <v>0</v>
      </c>
      <c r="AD76">
        <v>0</v>
      </c>
      <c r="AE76">
        <v>65.74</v>
      </c>
      <c r="AF76">
        <v>0</v>
      </c>
      <c r="AG76">
        <v>0</v>
      </c>
      <c r="AH76">
        <v>0</v>
      </c>
      <c r="AI76">
        <v>5.15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0.25</v>
      </c>
      <c r="AV76">
        <v>0</v>
      </c>
      <c r="AW76">
        <v>2</v>
      </c>
      <c r="AX76">
        <v>44571542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Y76*Source!I88</f>
        <v>0.0075</v>
      </c>
      <c r="CY76">
        <f>AA76</f>
        <v>338.56</v>
      </c>
      <c r="CZ76">
        <f>AE76</f>
        <v>65.74</v>
      </c>
      <c r="DA76">
        <f>AI76</f>
        <v>5.15</v>
      </c>
      <c r="DB76">
        <f>ROUND(ROUND(AT76*CZ76,2),2)</f>
        <v>16.44</v>
      </c>
      <c r="DC76">
        <f>ROUND(ROUND(AT76*AG76,2),2)</f>
        <v>0</v>
      </c>
    </row>
    <row r="77" spans="1:107" ht="12.75">
      <c r="A77">
        <f>ROW(Source!A88)</f>
        <v>88</v>
      </c>
      <c r="B77">
        <v>44571020</v>
      </c>
      <c r="C77">
        <v>44571521</v>
      </c>
      <c r="D77">
        <v>14105700</v>
      </c>
      <c r="E77">
        <v>1</v>
      </c>
      <c r="F77">
        <v>1</v>
      </c>
      <c r="G77">
        <v>1</v>
      </c>
      <c r="H77">
        <v>3</v>
      </c>
      <c r="I77" t="s">
        <v>502</v>
      </c>
      <c r="J77" t="s">
        <v>503</v>
      </c>
      <c r="K77" t="s">
        <v>504</v>
      </c>
      <c r="L77">
        <v>1374</v>
      </c>
      <c r="N77">
        <v>1013</v>
      </c>
      <c r="O77" t="s">
        <v>505</v>
      </c>
      <c r="P77" t="s">
        <v>505</v>
      </c>
      <c r="Q77">
        <v>1</v>
      </c>
      <c r="W77">
        <v>0</v>
      </c>
      <c r="X77">
        <v>1723657366</v>
      </c>
      <c r="Y77">
        <v>3.23</v>
      </c>
      <c r="AA77">
        <v>5.15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5.15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3.23</v>
      </c>
      <c r="AV77">
        <v>0</v>
      </c>
      <c r="AW77">
        <v>2</v>
      </c>
      <c r="AX77">
        <v>44571543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Y77*Source!I88</f>
        <v>0.0969</v>
      </c>
      <c r="CY77">
        <f>AA77</f>
        <v>5.15</v>
      </c>
      <c r="CZ77">
        <f>AE77</f>
        <v>1</v>
      </c>
      <c r="DA77">
        <f>AI77</f>
        <v>5.15</v>
      </c>
      <c r="DB77">
        <f>ROUND(ROUND(AT77*CZ77,2),2)</f>
        <v>3.23</v>
      </c>
      <c r="DC77">
        <f>ROUND(ROUND(AT77*AG77,2),2)</f>
        <v>0</v>
      </c>
    </row>
    <row r="78" spans="1:107" ht="12.75">
      <c r="A78">
        <f>ROW(Source!A89)</f>
        <v>89</v>
      </c>
      <c r="B78">
        <v>44571020</v>
      </c>
      <c r="C78">
        <v>44571544</v>
      </c>
      <c r="D78">
        <v>9915120</v>
      </c>
      <c r="E78">
        <v>1</v>
      </c>
      <c r="F78">
        <v>1</v>
      </c>
      <c r="G78">
        <v>1</v>
      </c>
      <c r="H78">
        <v>1</v>
      </c>
      <c r="I78" t="s">
        <v>500</v>
      </c>
      <c r="K78" t="s">
        <v>501</v>
      </c>
      <c r="L78">
        <v>1191</v>
      </c>
      <c r="N78">
        <v>1013</v>
      </c>
      <c r="O78" t="s">
        <v>445</v>
      </c>
      <c r="P78" t="s">
        <v>445</v>
      </c>
      <c r="Q78">
        <v>1</v>
      </c>
      <c r="W78">
        <v>0</v>
      </c>
      <c r="X78">
        <v>1028592258</v>
      </c>
      <c r="Y78">
        <v>8.9505</v>
      </c>
      <c r="AA78">
        <v>0</v>
      </c>
      <c r="AB78">
        <v>0</v>
      </c>
      <c r="AC78">
        <v>0</v>
      </c>
      <c r="AD78">
        <v>270.5</v>
      </c>
      <c r="AE78">
        <v>0</v>
      </c>
      <c r="AF78">
        <v>0</v>
      </c>
      <c r="AG78">
        <v>0</v>
      </c>
      <c r="AH78">
        <v>9.35</v>
      </c>
      <c r="AI78">
        <v>1</v>
      </c>
      <c r="AJ78">
        <v>1</v>
      </c>
      <c r="AK78">
        <v>1</v>
      </c>
      <c r="AL78">
        <v>28.93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6.63</v>
      </c>
      <c r="AU78" t="s">
        <v>191</v>
      </c>
      <c r="AV78">
        <v>1</v>
      </c>
      <c r="AW78">
        <v>2</v>
      </c>
      <c r="AX78">
        <v>44571555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Y78*Source!I89</f>
        <v>0.447525</v>
      </c>
      <c r="CY78">
        <f>AD78</f>
        <v>270.5</v>
      </c>
      <c r="CZ78">
        <f>AH78</f>
        <v>9.35</v>
      </c>
      <c r="DA78">
        <f>AL78</f>
        <v>28.93</v>
      </c>
      <c r="DB78">
        <f aca="true" t="shared" si="18" ref="DB78:DB83">ROUND((ROUND(AT78*CZ78,2)*ROUND(1.35,7)),2)</f>
        <v>83.69</v>
      </c>
      <c r="DC78">
        <f aca="true" t="shared" si="19" ref="DC78:DC83">ROUND((ROUND(AT78*AG78,2)*ROUND(1.35,7)),2)</f>
        <v>0</v>
      </c>
    </row>
    <row r="79" spans="1:107" ht="12.75">
      <c r="A79">
        <f>ROW(Source!A89)</f>
        <v>89</v>
      </c>
      <c r="B79">
        <v>44571020</v>
      </c>
      <c r="C79">
        <v>44571544</v>
      </c>
      <c r="D79">
        <v>121548</v>
      </c>
      <c r="E79">
        <v>1</v>
      </c>
      <c r="F79">
        <v>1</v>
      </c>
      <c r="G79">
        <v>1</v>
      </c>
      <c r="H79">
        <v>1</v>
      </c>
      <c r="I79" t="s">
        <v>28</v>
      </c>
      <c r="K79" t="s">
        <v>446</v>
      </c>
      <c r="L79">
        <v>608254</v>
      </c>
      <c r="N79">
        <v>1013</v>
      </c>
      <c r="O79" t="s">
        <v>447</v>
      </c>
      <c r="P79" t="s">
        <v>447</v>
      </c>
      <c r="Q79">
        <v>1</v>
      </c>
      <c r="W79">
        <v>0</v>
      </c>
      <c r="X79">
        <v>-185737400</v>
      </c>
      <c r="Y79">
        <v>0.27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28.93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0.2</v>
      </c>
      <c r="AU79" t="s">
        <v>191</v>
      </c>
      <c r="AV79">
        <v>2</v>
      </c>
      <c r="AW79">
        <v>2</v>
      </c>
      <c r="AX79">
        <v>44571556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Y79*Source!I89</f>
        <v>0.013500000000000002</v>
      </c>
      <c r="CY79">
        <f>AD79</f>
        <v>0</v>
      </c>
      <c r="CZ79">
        <f>AH79</f>
        <v>0</v>
      </c>
      <c r="DA79">
        <f>AL79</f>
        <v>1</v>
      </c>
      <c r="DB79">
        <f t="shared" si="18"/>
        <v>0</v>
      </c>
      <c r="DC79">
        <f t="shared" si="19"/>
        <v>0</v>
      </c>
    </row>
    <row r="80" spans="1:107" ht="12.75">
      <c r="A80">
        <f>ROW(Source!A89)</f>
        <v>89</v>
      </c>
      <c r="B80">
        <v>44571020</v>
      </c>
      <c r="C80">
        <v>44571544</v>
      </c>
      <c r="D80">
        <v>13901789</v>
      </c>
      <c r="E80">
        <v>1</v>
      </c>
      <c r="F80">
        <v>1</v>
      </c>
      <c r="G80">
        <v>1</v>
      </c>
      <c r="H80">
        <v>2</v>
      </c>
      <c r="I80" t="s">
        <v>506</v>
      </c>
      <c r="J80" t="s">
        <v>507</v>
      </c>
      <c r="K80" t="s">
        <v>508</v>
      </c>
      <c r="L80">
        <v>1368</v>
      </c>
      <c r="N80">
        <v>1011</v>
      </c>
      <c r="O80" t="s">
        <v>453</v>
      </c>
      <c r="P80" t="s">
        <v>453</v>
      </c>
      <c r="Q80">
        <v>1</v>
      </c>
      <c r="W80">
        <v>0</v>
      </c>
      <c r="X80">
        <v>2102783</v>
      </c>
      <c r="Y80">
        <v>0.27</v>
      </c>
      <c r="AA80">
        <v>0</v>
      </c>
      <c r="AB80">
        <v>1209.88</v>
      </c>
      <c r="AC80">
        <v>379.56</v>
      </c>
      <c r="AD80">
        <v>0</v>
      </c>
      <c r="AE80">
        <v>0</v>
      </c>
      <c r="AF80">
        <v>156.72</v>
      </c>
      <c r="AG80">
        <v>13.12</v>
      </c>
      <c r="AH80">
        <v>0</v>
      </c>
      <c r="AI80">
        <v>1</v>
      </c>
      <c r="AJ80">
        <v>7.72</v>
      </c>
      <c r="AK80">
        <v>28.93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0.2</v>
      </c>
      <c r="AU80" t="s">
        <v>191</v>
      </c>
      <c r="AV80">
        <v>0</v>
      </c>
      <c r="AW80">
        <v>2</v>
      </c>
      <c r="AX80">
        <v>44571557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Y80*Source!I89</f>
        <v>0.013500000000000002</v>
      </c>
      <c r="CY80">
        <f>AB80</f>
        <v>1209.88</v>
      </c>
      <c r="CZ80">
        <f>AF80</f>
        <v>156.72</v>
      </c>
      <c r="DA80">
        <f>AJ80</f>
        <v>7.72</v>
      </c>
      <c r="DB80">
        <f t="shared" si="18"/>
        <v>42.31</v>
      </c>
      <c r="DC80">
        <f t="shared" si="19"/>
        <v>3.54</v>
      </c>
    </row>
    <row r="81" spans="1:107" ht="12.75">
      <c r="A81">
        <f>ROW(Source!A89)</f>
        <v>89</v>
      </c>
      <c r="B81">
        <v>44571020</v>
      </c>
      <c r="C81">
        <v>44571544</v>
      </c>
      <c r="D81">
        <v>13901897</v>
      </c>
      <c r="E81">
        <v>1</v>
      </c>
      <c r="F81">
        <v>1</v>
      </c>
      <c r="G81">
        <v>1</v>
      </c>
      <c r="H81">
        <v>2</v>
      </c>
      <c r="I81" t="s">
        <v>509</v>
      </c>
      <c r="J81" t="s">
        <v>510</v>
      </c>
      <c r="K81" t="s">
        <v>511</v>
      </c>
      <c r="L81">
        <v>1368</v>
      </c>
      <c r="N81">
        <v>1011</v>
      </c>
      <c r="O81" t="s">
        <v>453</v>
      </c>
      <c r="P81" t="s">
        <v>453</v>
      </c>
      <c r="Q81">
        <v>1</v>
      </c>
      <c r="W81">
        <v>0</v>
      </c>
      <c r="X81">
        <v>-1862098278</v>
      </c>
      <c r="Y81">
        <v>2.0385</v>
      </c>
      <c r="AA81">
        <v>0</v>
      </c>
      <c r="AB81">
        <v>20.84</v>
      </c>
      <c r="AC81">
        <v>0</v>
      </c>
      <c r="AD81">
        <v>0</v>
      </c>
      <c r="AE81">
        <v>0</v>
      </c>
      <c r="AF81">
        <v>2.7</v>
      </c>
      <c r="AG81">
        <v>0</v>
      </c>
      <c r="AH81">
        <v>0</v>
      </c>
      <c r="AI81">
        <v>1</v>
      </c>
      <c r="AJ81">
        <v>7.72</v>
      </c>
      <c r="AK81">
        <v>28.93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1.51</v>
      </c>
      <c r="AU81" t="s">
        <v>191</v>
      </c>
      <c r="AV81">
        <v>0</v>
      </c>
      <c r="AW81">
        <v>2</v>
      </c>
      <c r="AX81">
        <v>44571558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Y81*Source!I89</f>
        <v>0.101925</v>
      </c>
      <c r="CY81">
        <f>AB81</f>
        <v>20.84</v>
      </c>
      <c r="CZ81">
        <f>AF81</f>
        <v>2.7</v>
      </c>
      <c r="DA81">
        <f>AJ81</f>
        <v>7.72</v>
      </c>
      <c r="DB81">
        <f t="shared" si="18"/>
        <v>5.51</v>
      </c>
      <c r="DC81">
        <f t="shared" si="19"/>
        <v>0</v>
      </c>
    </row>
    <row r="82" spans="1:107" ht="12.75">
      <c r="A82">
        <f>ROW(Source!A89)</f>
        <v>89</v>
      </c>
      <c r="B82">
        <v>44571020</v>
      </c>
      <c r="C82">
        <v>44571544</v>
      </c>
      <c r="D82">
        <v>13901915</v>
      </c>
      <c r="E82">
        <v>1</v>
      </c>
      <c r="F82">
        <v>1</v>
      </c>
      <c r="G82">
        <v>1</v>
      </c>
      <c r="H82">
        <v>2</v>
      </c>
      <c r="I82" t="s">
        <v>512</v>
      </c>
      <c r="J82" t="s">
        <v>513</v>
      </c>
      <c r="K82" t="s">
        <v>514</v>
      </c>
      <c r="L82">
        <v>1368</v>
      </c>
      <c r="N82">
        <v>1011</v>
      </c>
      <c r="O82" t="s">
        <v>453</v>
      </c>
      <c r="P82" t="s">
        <v>453</v>
      </c>
      <c r="Q82">
        <v>1</v>
      </c>
      <c r="W82">
        <v>0</v>
      </c>
      <c r="X82">
        <v>-122613164</v>
      </c>
      <c r="Y82">
        <v>2.0385</v>
      </c>
      <c r="AA82">
        <v>0</v>
      </c>
      <c r="AB82">
        <v>35.59</v>
      </c>
      <c r="AC82">
        <v>0</v>
      </c>
      <c r="AD82">
        <v>0</v>
      </c>
      <c r="AE82">
        <v>0</v>
      </c>
      <c r="AF82">
        <v>4.61</v>
      </c>
      <c r="AG82">
        <v>0</v>
      </c>
      <c r="AH82">
        <v>0</v>
      </c>
      <c r="AI82">
        <v>1</v>
      </c>
      <c r="AJ82">
        <v>7.72</v>
      </c>
      <c r="AK82">
        <v>28.93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1.51</v>
      </c>
      <c r="AU82" t="s">
        <v>191</v>
      </c>
      <c r="AV82">
        <v>0</v>
      </c>
      <c r="AW82">
        <v>2</v>
      </c>
      <c r="AX82">
        <v>44571559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Y82*Source!I89</f>
        <v>0.101925</v>
      </c>
      <c r="CY82">
        <f>AB82</f>
        <v>35.59</v>
      </c>
      <c r="CZ82">
        <f>AF82</f>
        <v>4.61</v>
      </c>
      <c r="DA82">
        <f>AJ82</f>
        <v>7.72</v>
      </c>
      <c r="DB82">
        <f t="shared" si="18"/>
        <v>9.4</v>
      </c>
      <c r="DC82">
        <f t="shared" si="19"/>
        <v>0</v>
      </c>
    </row>
    <row r="83" spans="1:107" ht="12.75">
      <c r="A83">
        <f>ROW(Source!A89)</f>
        <v>89</v>
      </c>
      <c r="B83">
        <v>44571020</v>
      </c>
      <c r="C83">
        <v>44571544</v>
      </c>
      <c r="D83">
        <v>13904227</v>
      </c>
      <c r="E83">
        <v>1</v>
      </c>
      <c r="F83">
        <v>1</v>
      </c>
      <c r="G83">
        <v>1</v>
      </c>
      <c r="H83">
        <v>2</v>
      </c>
      <c r="I83" t="s">
        <v>482</v>
      </c>
      <c r="J83" t="s">
        <v>483</v>
      </c>
      <c r="K83" t="s">
        <v>484</v>
      </c>
      <c r="L83">
        <v>1368</v>
      </c>
      <c r="N83">
        <v>1011</v>
      </c>
      <c r="O83" t="s">
        <v>453</v>
      </c>
      <c r="P83" t="s">
        <v>453</v>
      </c>
      <c r="Q83">
        <v>1</v>
      </c>
      <c r="W83">
        <v>0</v>
      </c>
      <c r="X83">
        <v>1849659131</v>
      </c>
      <c r="Y83">
        <v>0.27</v>
      </c>
      <c r="AA83">
        <v>0</v>
      </c>
      <c r="AB83">
        <v>623.39</v>
      </c>
      <c r="AC83">
        <v>0</v>
      </c>
      <c r="AD83">
        <v>0</v>
      </c>
      <c r="AE83">
        <v>0</v>
      </c>
      <c r="AF83">
        <v>80.75</v>
      </c>
      <c r="AG83">
        <v>0</v>
      </c>
      <c r="AH83">
        <v>0</v>
      </c>
      <c r="AI83">
        <v>1</v>
      </c>
      <c r="AJ83">
        <v>7.72</v>
      </c>
      <c r="AK83">
        <v>28.93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0.2</v>
      </c>
      <c r="AU83" t="s">
        <v>191</v>
      </c>
      <c r="AV83">
        <v>0</v>
      </c>
      <c r="AW83">
        <v>2</v>
      </c>
      <c r="AX83">
        <v>44571560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Y83*Source!I89</f>
        <v>0.013500000000000002</v>
      </c>
      <c r="CY83">
        <f>AB83</f>
        <v>623.39</v>
      </c>
      <c r="CZ83">
        <f>AF83</f>
        <v>80.75</v>
      </c>
      <c r="DA83">
        <f>AJ83</f>
        <v>7.72</v>
      </c>
      <c r="DB83">
        <f t="shared" si="18"/>
        <v>21.8</v>
      </c>
      <c r="DC83">
        <f t="shared" si="19"/>
        <v>0</v>
      </c>
    </row>
    <row r="84" spans="1:107" ht="12.75">
      <c r="A84">
        <f>ROW(Source!A89)</f>
        <v>89</v>
      </c>
      <c r="B84">
        <v>44571020</v>
      </c>
      <c r="C84">
        <v>44571544</v>
      </c>
      <c r="D84">
        <v>13908341</v>
      </c>
      <c r="E84">
        <v>1</v>
      </c>
      <c r="F84">
        <v>1</v>
      </c>
      <c r="G84">
        <v>1</v>
      </c>
      <c r="H84">
        <v>3</v>
      </c>
      <c r="I84" t="s">
        <v>524</v>
      </c>
      <c r="J84" t="s">
        <v>525</v>
      </c>
      <c r="K84" t="s">
        <v>526</v>
      </c>
      <c r="L84">
        <v>1308</v>
      </c>
      <c r="N84">
        <v>1003</v>
      </c>
      <c r="O84" t="s">
        <v>527</v>
      </c>
      <c r="P84" t="s">
        <v>527</v>
      </c>
      <c r="Q84">
        <v>100</v>
      </c>
      <c r="W84">
        <v>0</v>
      </c>
      <c r="X84">
        <v>2010740808</v>
      </c>
      <c r="Y84">
        <v>0.096</v>
      </c>
      <c r="AA84">
        <v>594.57</v>
      </c>
      <c r="AB84">
        <v>0</v>
      </c>
      <c r="AC84">
        <v>0</v>
      </c>
      <c r="AD84">
        <v>0</v>
      </c>
      <c r="AE84">
        <v>115.45</v>
      </c>
      <c r="AF84">
        <v>0</v>
      </c>
      <c r="AG84">
        <v>0</v>
      </c>
      <c r="AH84">
        <v>0</v>
      </c>
      <c r="AI84">
        <v>5.15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0.096</v>
      </c>
      <c r="AV84">
        <v>0</v>
      </c>
      <c r="AW84">
        <v>2</v>
      </c>
      <c r="AX84">
        <v>44571561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Y84*Source!I89</f>
        <v>0.0048000000000000004</v>
      </c>
      <c r="CY84">
        <f>AA84</f>
        <v>594.57</v>
      </c>
      <c r="CZ84">
        <f>AE84</f>
        <v>115.45</v>
      </c>
      <c r="DA84">
        <f>AI84</f>
        <v>5.15</v>
      </c>
      <c r="DB84">
        <f>ROUND(ROUND(AT84*CZ84,2),2)</f>
        <v>11.08</v>
      </c>
      <c r="DC84">
        <f>ROUND(ROUND(AT84*AG84,2),2)</f>
        <v>0</v>
      </c>
    </row>
    <row r="85" spans="1:107" ht="12.75">
      <c r="A85">
        <f>ROW(Source!A89)</f>
        <v>89</v>
      </c>
      <c r="B85">
        <v>44571020</v>
      </c>
      <c r="C85">
        <v>44571544</v>
      </c>
      <c r="D85">
        <v>13930780</v>
      </c>
      <c r="E85">
        <v>1</v>
      </c>
      <c r="F85">
        <v>1</v>
      </c>
      <c r="G85">
        <v>1</v>
      </c>
      <c r="H85">
        <v>3</v>
      </c>
      <c r="I85" t="s">
        <v>528</v>
      </c>
      <c r="J85" t="s">
        <v>529</v>
      </c>
      <c r="K85" t="s">
        <v>530</v>
      </c>
      <c r="L85">
        <v>1348</v>
      </c>
      <c r="N85">
        <v>1009</v>
      </c>
      <c r="O85" t="s">
        <v>322</v>
      </c>
      <c r="P85" t="s">
        <v>322</v>
      </c>
      <c r="Q85">
        <v>1000</v>
      </c>
      <c r="W85">
        <v>0</v>
      </c>
      <c r="X85">
        <v>-1075176237</v>
      </c>
      <c r="Y85">
        <v>6E-05</v>
      </c>
      <c r="AA85">
        <v>48128.4</v>
      </c>
      <c r="AB85">
        <v>0</v>
      </c>
      <c r="AC85">
        <v>0</v>
      </c>
      <c r="AD85">
        <v>0</v>
      </c>
      <c r="AE85">
        <v>9345.32</v>
      </c>
      <c r="AF85">
        <v>0</v>
      </c>
      <c r="AG85">
        <v>0</v>
      </c>
      <c r="AH85">
        <v>0</v>
      </c>
      <c r="AI85">
        <v>5.15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6E-05</v>
      </c>
      <c r="AV85">
        <v>0</v>
      </c>
      <c r="AW85">
        <v>2</v>
      </c>
      <c r="AX85">
        <v>44571562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Y85*Source!I89</f>
        <v>3E-06</v>
      </c>
      <c r="CY85">
        <f>AA85</f>
        <v>48128.4</v>
      </c>
      <c r="CZ85">
        <f>AE85</f>
        <v>9345.32</v>
      </c>
      <c r="DA85">
        <f>AI85</f>
        <v>5.15</v>
      </c>
      <c r="DB85">
        <f>ROUND(ROUND(AT85*CZ85,2),2)</f>
        <v>0.56</v>
      </c>
      <c r="DC85">
        <f>ROUND(ROUND(AT85*AG85,2),2)</f>
        <v>0</v>
      </c>
    </row>
    <row r="86" spans="1:107" ht="12.75">
      <c r="A86">
        <f>ROW(Source!A89)</f>
        <v>89</v>
      </c>
      <c r="B86">
        <v>44571020</v>
      </c>
      <c r="C86">
        <v>44571544</v>
      </c>
      <c r="D86">
        <v>13998519</v>
      </c>
      <c r="E86">
        <v>1</v>
      </c>
      <c r="F86">
        <v>1</v>
      </c>
      <c r="G86">
        <v>1</v>
      </c>
      <c r="H86">
        <v>3</v>
      </c>
      <c r="I86" t="s">
        <v>531</v>
      </c>
      <c r="J86" t="s">
        <v>532</v>
      </c>
      <c r="K86" t="s">
        <v>533</v>
      </c>
      <c r="L86">
        <v>1346</v>
      </c>
      <c r="N86">
        <v>1009</v>
      </c>
      <c r="O86" t="s">
        <v>222</v>
      </c>
      <c r="P86" t="s">
        <v>222</v>
      </c>
      <c r="Q86">
        <v>1</v>
      </c>
      <c r="W86">
        <v>0</v>
      </c>
      <c r="X86">
        <v>551678104</v>
      </c>
      <c r="Y86">
        <v>0.5</v>
      </c>
      <c r="AA86">
        <v>338.56</v>
      </c>
      <c r="AB86">
        <v>0</v>
      </c>
      <c r="AC86">
        <v>0</v>
      </c>
      <c r="AD86">
        <v>0</v>
      </c>
      <c r="AE86">
        <v>65.74</v>
      </c>
      <c r="AF86">
        <v>0</v>
      </c>
      <c r="AG86">
        <v>0</v>
      </c>
      <c r="AH86">
        <v>0</v>
      </c>
      <c r="AI86">
        <v>5.15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0.5</v>
      </c>
      <c r="AV86">
        <v>0</v>
      </c>
      <c r="AW86">
        <v>2</v>
      </c>
      <c r="AX86">
        <v>44571563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Y86*Source!I89</f>
        <v>0.025</v>
      </c>
      <c r="CY86">
        <f>AA86</f>
        <v>338.56</v>
      </c>
      <c r="CZ86">
        <f>AE86</f>
        <v>65.74</v>
      </c>
      <c r="DA86">
        <f>AI86</f>
        <v>5.15</v>
      </c>
      <c r="DB86">
        <f>ROUND(ROUND(AT86*CZ86,2),2)</f>
        <v>32.87</v>
      </c>
      <c r="DC86">
        <f>ROUND(ROUND(AT86*AG86,2),2)</f>
        <v>0</v>
      </c>
    </row>
    <row r="87" spans="1:107" ht="12.75">
      <c r="A87">
        <f>ROW(Source!A89)</f>
        <v>89</v>
      </c>
      <c r="B87">
        <v>44571020</v>
      </c>
      <c r="C87">
        <v>44571544</v>
      </c>
      <c r="D87">
        <v>14105700</v>
      </c>
      <c r="E87">
        <v>1</v>
      </c>
      <c r="F87">
        <v>1</v>
      </c>
      <c r="G87">
        <v>1</v>
      </c>
      <c r="H87">
        <v>3</v>
      </c>
      <c r="I87" t="s">
        <v>502</v>
      </c>
      <c r="J87" t="s">
        <v>503</v>
      </c>
      <c r="K87" t="s">
        <v>504</v>
      </c>
      <c r="L87">
        <v>1374</v>
      </c>
      <c r="N87">
        <v>1013</v>
      </c>
      <c r="O87" t="s">
        <v>505</v>
      </c>
      <c r="P87" t="s">
        <v>505</v>
      </c>
      <c r="Q87">
        <v>1</v>
      </c>
      <c r="W87">
        <v>0</v>
      </c>
      <c r="X87">
        <v>1723657366</v>
      </c>
      <c r="Y87">
        <v>1.24</v>
      </c>
      <c r="AA87">
        <v>5.15</v>
      </c>
      <c r="AB87">
        <v>0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0</v>
      </c>
      <c r="AI87">
        <v>5.15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1.24</v>
      </c>
      <c r="AV87">
        <v>0</v>
      </c>
      <c r="AW87">
        <v>2</v>
      </c>
      <c r="AX87">
        <v>44571564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Y87*Source!I89</f>
        <v>0.062</v>
      </c>
      <c r="CY87">
        <f>AA87</f>
        <v>5.15</v>
      </c>
      <c r="CZ87">
        <f>AE87</f>
        <v>1</v>
      </c>
      <c r="DA87">
        <f>AI87</f>
        <v>5.15</v>
      </c>
      <c r="DB87">
        <f>ROUND(ROUND(AT87*CZ87,2),2)</f>
        <v>1.24</v>
      </c>
      <c r="DC87">
        <f>ROUND(ROUND(AT87*AG87,2),2)</f>
        <v>0</v>
      </c>
    </row>
    <row r="88" spans="1:107" ht="12.75">
      <c r="A88">
        <f>ROW(Source!A90)</f>
        <v>90</v>
      </c>
      <c r="B88">
        <v>44571020</v>
      </c>
      <c r="C88">
        <v>44571565</v>
      </c>
      <c r="D88">
        <v>9915120</v>
      </c>
      <c r="E88">
        <v>1</v>
      </c>
      <c r="F88">
        <v>1</v>
      </c>
      <c r="G88">
        <v>1</v>
      </c>
      <c r="H88">
        <v>1</v>
      </c>
      <c r="I88" t="s">
        <v>500</v>
      </c>
      <c r="K88" t="s">
        <v>501</v>
      </c>
      <c r="L88">
        <v>1191</v>
      </c>
      <c r="N88">
        <v>1013</v>
      </c>
      <c r="O88" t="s">
        <v>445</v>
      </c>
      <c r="P88" t="s">
        <v>445</v>
      </c>
      <c r="Q88">
        <v>1</v>
      </c>
      <c r="W88">
        <v>0</v>
      </c>
      <c r="X88">
        <v>1028592258</v>
      </c>
      <c r="Y88">
        <v>1.701</v>
      </c>
      <c r="AA88">
        <v>0</v>
      </c>
      <c r="AB88">
        <v>0</v>
      </c>
      <c r="AC88">
        <v>0</v>
      </c>
      <c r="AD88">
        <v>270.5</v>
      </c>
      <c r="AE88">
        <v>0</v>
      </c>
      <c r="AF88">
        <v>0</v>
      </c>
      <c r="AG88">
        <v>0</v>
      </c>
      <c r="AH88">
        <v>9.35</v>
      </c>
      <c r="AI88">
        <v>1</v>
      </c>
      <c r="AJ88">
        <v>1</v>
      </c>
      <c r="AK88">
        <v>1</v>
      </c>
      <c r="AL88">
        <v>28.93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1.26</v>
      </c>
      <c r="AU88" t="s">
        <v>191</v>
      </c>
      <c r="AV88">
        <v>1</v>
      </c>
      <c r="AW88">
        <v>2</v>
      </c>
      <c r="AX88">
        <v>44571569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Y88*Source!I90</f>
        <v>0.08505000000000001</v>
      </c>
      <c r="CY88">
        <f>AD88</f>
        <v>270.5</v>
      </c>
      <c r="CZ88">
        <f>AH88</f>
        <v>9.35</v>
      </c>
      <c r="DA88">
        <f>AL88</f>
        <v>28.93</v>
      </c>
      <c r="DB88">
        <f>ROUND((ROUND(AT88*CZ88,2)*ROUND(1.35,7)),2)</f>
        <v>15.9</v>
      </c>
      <c r="DC88">
        <f>ROUND((ROUND(AT88*AG88,2)*ROUND(1.35,7)),2)</f>
        <v>0</v>
      </c>
    </row>
    <row r="89" spans="1:107" ht="12.75">
      <c r="A89">
        <f>ROW(Source!A90)</f>
        <v>90</v>
      </c>
      <c r="B89">
        <v>44571020</v>
      </c>
      <c r="C89">
        <v>44571565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28</v>
      </c>
      <c r="K89" t="s">
        <v>446</v>
      </c>
      <c r="L89">
        <v>608254</v>
      </c>
      <c r="N89">
        <v>1013</v>
      </c>
      <c r="O89" t="s">
        <v>447</v>
      </c>
      <c r="P89" t="s">
        <v>447</v>
      </c>
      <c r="Q89">
        <v>1</v>
      </c>
      <c r="W89">
        <v>0</v>
      </c>
      <c r="X89">
        <v>-185737400</v>
      </c>
      <c r="Y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28.93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</v>
      </c>
      <c r="AU89" t="s">
        <v>191</v>
      </c>
      <c r="AV89">
        <v>2</v>
      </c>
      <c r="AW89">
        <v>2</v>
      </c>
      <c r="AX89">
        <v>44571570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Y89*Source!I90</f>
        <v>0</v>
      </c>
      <c r="CY89">
        <f>AD89</f>
        <v>0</v>
      </c>
      <c r="CZ89">
        <f>AH89</f>
        <v>0</v>
      </c>
      <c r="DA89">
        <f>AL89</f>
        <v>1</v>
      </c>
      <c r="DB89">
        <f>ROUND((ROUND(AT89*CZ89,2)*ROUND(1.35,7)),2)</f>
        <v>0</v>
      </c>
      <c r="DC89">
        <f>ROUND((ROUND(AT89*AG89,2)*ROUND(1.35,7)),2)</f>
        <v>0</v>
      </c>
    </row>
    <row r="90" spans="1:107" ht="12.75">
      <c r="A90">
        <f>ROW(Source!A90)</f>
        <v>90</v>
      </c>
      <c r="B90">
        <v>44571020</v>
      </c>
      <c r="C90">
        <v>44571565</v>
      </c>
      <c r="D90">
        <v>14105700</v>
      </c>
      <c r="E90">
        <v>1</v>
      </c>
      <c r="F90">
        <v>1</v>
      </c>
      <c r="G90">
        <v>1</v>
      </c>
      <c r="H90">
        <v>3</v>
      </c>
      <c r="I90" t="s">
        <v>502</v>
      </c>
      <c r="J90" t="s">
        <v>503</v>
      </c>
      <c r="K90" t="s">
        <v>504</v>
      </c>
      <c r="L90">
        <v>1374</v>
      </c>
      <c r="N90">
        <v>1013</v>
      </c>
      <c r="O90" t="s">
        <v>505</v>
      </c>
      <c r="P90" t="s">
        <v>505</v>
      </c>
      <c r="Q90">
        <v>1</v>
      </c>
      <c r="W90">
        <v>0</v>
      </c>
      <c r="X90">
        <v>1723657366</v>
      </c>
      <c r="Y90">
        <v>0.24</v>
      </c>
      <c r="AA90">
        <v>5.15</v>
      </c>
      <c r="AB90">
        <v>0</v>
      </c>
      <c r="AC90">
        <v>0</v>
      </c>
      <c r="AD90">
        <v>0</v>
      </c>
      <c r="AE90">
        <v>1</v>
      </c>
      <c r="AF90">
        <v>0</v>
      </c>
      <c r="AG90">
        <v>0</v>
      </c>
      <c r="AH90">
        <v>0</v>
      </c>
      <c r="AI90">
        <v>5.15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0.24</v>
      </c>
      <c r="AV90">
        <v>0</v>
      </c>
      <c r="AW90">
        <v>2</v>
      </c>
      <c r="AX90">
        <v>44571571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Y90*Source!I90</f>
        <v>0.012</v>
      </c>
      <c r="CY90">
        <f>AA90</f>
        <v>5.15</v>
      </c>
      <c r="CZ90">
        <f>AE90</f>
        <v>1</v>
      </c>
      <c r="DA90">
        <f>AI90</f>
        <v>5.15</v>
      </c>
      <c r="DB90">
        <f>ROUND(ROUND(AT90*CZ90,2),2)</f>
        <v>0.24</v>
      </c>
      <c r="DC90">
        <f>ROUND(ROUND(AT90*AG90,2),2)</f>
        <v>0</v>
      </c>
    </row>
    <row r="91" spans="1:107" ht="12.75">
      <c r="A91">
        <f>ROW(Source!A91)</f>
        <v>91</v>
      </c>
      <c r="B91">
        <v>44571020</v>
      </c>
      <c r="C91">
        <v>44571572</v>
      </c>
      <c r="D91">
        <v>9915120</v>
      </c>
      <c r="E91">
        <v>1</v>
      </c>
      <c r="F91">
        <v>1</v>
      </c>
      <c r="G91">
        <v>1</v>
      </c>
      <c r="H91">
        <v>1</v>
      </c>
      <c r="I91" t="s">
        <v>500</v>
      </c>
      <c r="K91" t="s">
        <v>501</v>
      </c>
      <c r="L91">
        <v>1191</v>
      </c>
      <c r="N91">
        <v>1013</v>
      </c>
      <c r="O91" t="s">
        <v>445</v>
      </c>
      <c r="P91" t="s">
        <v>445</v>
      </c>
      <c r="Q91">
        <v>1</v>
      </c>
      <c r="W91">
        <v>0</v>
      </c>
      <c r="X91">
        <v>1028592258</v>
      </c>
      <c r="Y91">
        <v>6.101999999999999</v>
      </c>
      <c r="AA91">
        <v>0</v>
      </c>
      <c r="AB91">
        <v>0</v>
      </c>
      <c r="AC91">
        <v>0</v>
      </c>
      <c r="AD91">
        <v>270.5</v>
      </c>
      <c r="AE91">
        <v>0</v>
      </c>
      <c r="AF91">
        <v>0</v>
      </c>
      <c r="AG91">
        <v>0</v>
      </c>
      <c r="AH91">
        <v>9.35</v>
      </c>
      <c r="AI91">
        <v>1</v>
      </c>
      <c r="AJ91">
        <v>1</v>
      </c>
      <c r="AK91">
        <v>1</v>
      </c>
      <c r="AL91">
        <v>28.93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4.52</v>
      </c>
      <c r="AU91" t="s">
        <v>191</v>
      </c>
      <c r="AV91">
        <v>1</v>
      </c>
      <c r="AW91">
        <v>2</v>
      </c>
      <c r="AX91">
        <v>44578931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Y91*Source!I91</f>
        <v>6.101999999999999</v>
      </c>
      <c r="CY91">
        <f>AD91</f>
        <v>270.5</v>
      </c>
      <c r="CZ91">
        <f>AH91</f>
        <v>9.35</v>
      </c>
      <c r="DA91">
        <f>AL91</f>
        <v>28.93</v>
      </c>
      <c r="DB91">
        <f>ROUND((ROUND(AT91*CZ91,2)*ROUND(1.35,7)),2)</f>
        <v>57.05</v>
      </c>
      <c r="DC91">
        <f>ROUND((ROUND(AT91*AG91,2)*ROUND(1.35,7)),2)</f>
        <v>0</v>
      </c>
    </row>
    <row r="92" spans="1:107" ht="12.75">
      <c r="A92">
        <f>ROW(Source!A91)</f>
        <v>91</v>
      </c>
      <c r="B92">
        <v>44571020</v>
      </c>
      <c r="C92">
        <v>44571572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28</v>
      </c>
      <c r="K92" t="s">
        <v>446</v>
      </c>
      <c r="L92">
        <v>608254</v>
      </c>
      <c r="N92">
        <v>1013</v>
      </c>
      <c r="O92" t="s">
        <v>447</v>
      </c>
      <c r="P92" t="s">
        <v>447</v>
      </c>
      <c r="Q92">
        <v>1</v>
      </c>
      <c r="W92">
        <v>0</v>
      </c>
      <c r="X92">
        <v>-185737400</v>
      </c>
      <c r="Y92">
        <v>4.6305000000000005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28.93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3.43</v>
      </c>
      <c r="AU92" t="s">
        <v>191</v>
      </c>
      <c r="AV92">
        <v>2</v>
      </c>
      <c r="AW92">
        <v>2</v>
      </c>
      <c r="AX92">
        <v>44578932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Y92*Source!I91</f>
        <v>4.6305000000000005</v>
      </c>
      <c r="CY92">
        <f>AD92</f>
        <v>0</v>
      </c>
      <c r="CZ92">
        <f>AH92</f>
        <v>0</v>
      </c>
      <c r="DA92">
        <f>AL92</f>
        <v>1</v>
      </c>
      <c r="DB92">
        <f>ROUND((ROUND(AT92*CZ92,2)*ROUND(1.35,7)),2)</f>
        <v>0</v>
      </c>
      <c r="DC92">
        <f>ROUND((ROUND(AT92*AG92,2)*ROUND(1.35,7)),2)</f>
        <v>0</v>
      </c>
    </row>
    <row r="93" spans="1:107" ht="12.75">
      <c r="A93">
        <f>ROW(Source!A91)</f>
        <v>91</v>
      </c>
      <c r="B93">
        <v>44571020</v>
      </c>
      <c r="C93">
        <v>44571572</v>
      </c>
      <c r="D93">
        <v>13901975</v>
      </c>
      <c r="E93">
        <v>1</v>
      </c>
      <c r="F93">
        <v>1</v>
      </c>
      <c r="G93">
        <v>1</v>
      </c>
      <c r="H93">
        <v>2</v>
      </c>
      <c r="I93" t="s">
        <v>537</v>
      </c>
      <c r="J93" t="s">
        <v>538</v>
      </c>
      <c r="K93" t="s">
        <v>539</v>
      </c>
      <c r="L93">
        <v>1368</v>
      </c>
      <c r="N93">
        <v>1011</v>
      </c>
      <c r="O93" t="s">
        <v>453</v>
      </c>
      <c r="P93" t="s">
        <v>453</v>
      </c>
      <c r="Q93">
        <v>1</v>
      </c>
      <c r="W93">
        <v>0</v>
      </c>
      <c r="X93">
        <v>-782755685</v>
      </c>
      <c r="Y93">
        <v>4.6305000000000005</v>
      </c>
      <c r="AA93">
        <v>0</v>
      </c>
      <c r="AB93">
        <v>1352.62</v>
      </c>
      <c r="AC93">
        <v>379.56</v>
      </c>
      <c r="AD93">
        <v>0</v>
      </c>
      <c r="AE93">
        <v>0</v>
      </c>
      <c r="AF93">
        <v>175.21</v>
      </c>
      <c r="AG93">
        <v>13.12</v>
      </c>
      <c r="AH93">
        <v>0</v>
      </c>
      <c r="AI93">
        <v>1</v>
      </c>
      <c r="AJ93">
        <v>7.72</v>
      </c>
      <c r="AK93">
        <v>28.93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3.43</v>
      </c>
      <c r="AU93" t="s">
        <v>191</v>
      </c>
      <c r="AV93">
        <v>0</v>
      </c>
      <c r="AW93">
        <v>2</v>
      </c>
      <c r="AX93">
        <v>44578933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Y93*Source!I91</f>
        <v>4.6305000000000005</v>
      </c>
      <c r="CY93">
        <f>AB93</f>
        <v>1352.62</v>
      </c>
      <c r="CZ93">
        <f>AF93</f>
        <v>175.21</v>
      </c>
      <c r="DA93">
        <f>AJ93</f>
        <v>7.72</v>
      </c>
      <c r="DB93">
        <f>ROUND((ROUND(AT93*CZ93,2)*ROUND(1.35,7)),2)</f>
        <v>811.31</v>
      </c>
      <c r="DC93">
        <f>ROUND((ROUND(AT93*AG93,2)*ROUND(1.35,7)),2)</f>
        <v>60.75</v>
      </c>
    </row>
    <row r="94" spans="1:107" ht="12.75">
      <c r="A94">
        <f>ROW(Source!A91)</f>
        <v>91</v>
      </c>
      <c r="B94">
        <v>44571020</v>
      </c>
      <c r="C94">
        <v>44571572</v>
      </c>
      <c r="D94">
        <v>13905164</v>
      </c>
      <c r="E94">
        <v>1</v>
      </c>
      <c r="F94">
        <v>1</v>
      </c>
      <c r="G94">
        <v>1</v>
      </c>
      <c r="H94">
        <v>3</v>
      </c>
      <c r="I94" t="s">
        <v>540</v>
      </c>
      <c r="J94" t="s">
        <v>541</v>
      </c>
      <c r="K94" t="s">
        <v>542</v>
      </c>
      <c r="L94">
        <v>1348</v>
      </c>
      <c r="N94">
        <v>1009</v>
      </c>
      <c r="O94" t="s">
        <v>322</v>
      </c>
      <c r="P94" t="s">
        <v>322</v>
      </c>
      <c r="Q94">
        <v>1000</v>
      </c>
      <c r="W94">
        <v>0</v>
      </c>
      <c r="X94">
        <v>2084223003</v>
      </c>
      <c r="Y94">
        <v>0.0004</v>
      </c>
      <c r="AA94">
        <v>30778.46</v>
      </c>
      <c r="AB94">
        <v>0</v>
      </c>
      <c r="AC94">
        <v>0</v>
      </c>
      <c r="AD94">
        <v>0</v>
      </c>
      <c r="AE94">
        <v>5976.4</v>
      </c>
      <c r="AF94">
        <v>0</v>
      </c>
      <c r="AG94">
        <v>0</v>
      </c>
      <c r="AH94">
        <v>0</v>
      </c>
      <c r="AI94">
        <v>5.15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0.0004</v>
      </c>
      <c r="AV94">
        <v>0</v>
      </c>
      <c r="AW94">
        <v>2</v>
      </c>
      <c r="AX94">
        <v>44578934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Y94*Source!I91</f>
        <v>0.0004</v>
      </c>
      <c r="CY94">
        <f>AA94</f>
        <v>30778.46</v>
      </c>
      <c r="CZ94">
        <f>AE94</f>
        <v>5976.4</v>
      </c>
      <c r="DA94">
        <f>AI94</f>
        <v>5.15</v>
      </c>
      <c r="DB94">
        <f>ROUND(ROUND(AT94*CZ94,2),2)</f>
        <v>2.39</v>
      </c>
      <c r="DC94">
        <f>ROUND(ROUND(AT94*AG94,2),2)</f>
        <v>0</v>
      </c>
    </row>
    <row r="95" spans="1:107" ht="12.75">
      <c r="A95">
        <f>ROW(Source!A91)</f>
        <v>91</v>
      </c>
      <c r="B95">
        <v>44571020</v>
      </c>
      <c r="C95">
        <v>44571572</v>
      </c>
      <c r="D95">
        <v>13908341</v>
      </c>
      <c r="E95">
        <v>1</v>
      </c>
      <c r="F95">
        <v>1</v>
      </c>
      <c r="G95">
        <v>1</v>
      </c>
      <c r="H95">
        <v>3</v>
      </c>
      <c r="I95" t="s">
        <v>524</v>
      </c>
      <c r="J95" t="s">
        <v>525</v>
      </c>
      <c r="K95" t="s">
        <v>526</v>
      </c>
      <c r="L95">
        <v>1308</v>
      </c>
      <c r="N95">
        <v>1003</v>
      </c>
      <c r="O95" t="s">
        <v>527</v>
      </c>
      <c r="P95" t="s">
        <v>527</v>
      </c>
      <c r="Q95">
        <v>100</v>
      </c>
      <c r="W95">
        <v>0</v>
      </c>
      <c r="X95">
        <v>2010740808</v>
      </c>
      <c r="Y95">
        <v>0.0024</v>
      </c>
      <c r="AA95">
        <v>594.57</v>
      </c>
      <c r="AB95">
        <v>0</v>
      </c>
      <c r="AC95">
        <v>0</v>
      </c>
      <c r="AD95">
        <v>0</v>
      </c>
      <c r="AE95">
        <v>115.45</v>
      </c>
      <c r="AF95">
        <v>0</v>
      </c>
      <c r="AG95">
        <v>0</v>
      </c>
      <c r="AH95">
        <v>0</v>
      </c>
      <c r="AI95">
        <v>5.15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0.0024</v>
      </c>
      <c r="AV95">
        <v>0</v>
      </c>
      <c r="AW95">
        <v>2</v>
      </c>
      <c r="AX95">
        <v>44578935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Y95*Source!I91</f>
        <v>0.0024</v>
      </c>
      <c r="CY95">
        <f>AA95</f>
        <v>594.57</v>
      </c>
      <c r="CZ95">
        <f>AE95</f>
        <v>115.45</v>
      </c>
      <c r="DA95">
        <f>AI95</f>
        <v>5.15</v>
      </c>
      <c r="DB95">
        <f>ROUND(ROUND(AT95*CZ95,2),2)</f>
        <v>0.28</v>
      </c>
      <c r="DC95">
        <f>ROUND(ROUND(AT95*AG95,2),2)</f>
        <v>0</v>
      </c>
    </row>
    <row r="96" spans="1:107" ht="12.75">
      <c r="A96">
        <f>ROW(Source!A91)</f>
        <v>91</v>
      </c>
      <c r="B96">
        <v>44571020</v>
      </c>
      <c r="C96">
        <v>44571572</v>
      </c>
      <c r="D96">
        <v>14010598</v>
      </c>
      <c r="E96">
        <v>1</v>
      </c>
      <c r="F96">
        <v>1</v>
      </c>
      <c r="G96">
        <v>1</v>
      </c>
      <c r="H96">
        <v>3</v>
      </c>
      <c r="I96" t="s">
        <v>543</v>
      </c>
      <c r="J96" t="s">
        <v>544</v>
      </c>
      <c r="K96" t="s">
        <v>545</v>
      </c>
      <c r="L96">
        <v>1348</v>
      </c>
      <c r="N96">
        <v>1009</v>
      </c>
      <c r="O96" t="s">
        <v>322</v>
      </c>
      <c r="P96" t="s">
        <v>322</v>
      </c>
      <c r="Q96">
        <v>1000</v>
      </c>
      <c r="W96">
        <v>0</v>
      </c>
      <c r="X96">
        <v>1138560716</v>
      </c>
      <c r="Y96">
        <v>1E-05</v>
      </c>
      <c r="AA96">
        <v>49842.83</v>
      </c>
      <c r="AB96">
        <v>0</v>
      </c>
      <c r="AC96">
        <v>0</v>
      </c>
      <c r="AD96">
        <v>0</v>
      </c>
      <c r="AE96">
        <v>9678.22</v>
      </c>
      <c r="AF96">
        <v>0</v>
      </c>
      <c r="AG96">
        <v>0</v>
      </c>
      <c r="AH96">
        <v>0</v>
      </c>
      <c r="AI96">
        <v>5.15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1E-05</v>
      </c>
      <c r="AV96">
        <v>0</v>
      </c>
      <c r="AW96">
        <v>2</v>
      </c>
      <c r="AX96">
        <v>44578936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Y96*Source!I91</f>
        <v>1E-05</v>
      </c>
      <c r="CY96">
        <f>AA96</f>
        <v>49842.83</v>
      </c>
      <c r="CZ96">
        <f>AE96</f>
        <v>9678.22</v>
      </c>
      <c r="DA96">
        <f>AI96</f>
        <v>5.15</v>
      </c>
      <c r="DB96">
        <f>ROUND(ROUND(AT96*CZ96,2),2)</f>
        <v>0.1</v>
      </c>
      <c r="DC96">
        <f>ROUND(ROUND(AT96*AG96,2),2)</f>
        <v>0</v>
      </c>
    </row>
    <row r="97" spans="1:107" ht="12.75">
      <c r="A97">
        <f>ROW(Source!A91)</f>
        <v>91</v>
      </c>
      <c r="B97">
        <v>44571020</v>
      </c>
      <c r="C97">
        <v>44571572</v>
      </c>
      <c r="D97">
        <v>14105700</v>
      </c>
      <c r="E97">
        <v>1</v>
      </c>
      <c r="F97">
        <v>1</v>
      </c>
      <c r="G97">
        <v>1</v>
      </c>
      <c r="H97">
        <v>3</v>
      </c>
      <c r="I97" t="s">
        <v>502</v>
      </c>
      <c r="J97" t="s">
        <v>503</v>
      </c>
      <c r="K97" t="s">
        <v>504</v>
      </c>
      <c r="L97">
        <v>1374</v>
      </c>
      <c r="N97">
        <v>1013</v>
      </c>
      <c r="O97" t="s">
        <v>505</v>
      </c>
      <c r="P97" t="s">
        <v>505</v>
      </c>
      <c r="Q97">
        <v>1</v>
      </c>
      <c r="W97">
        <v>0</v>
      </c>
      <c r="X97">
        <v>1723657366</v>
      </c>
      <c r="Y97">
        <v>0.85</v>
      </c>
      <c r="AA97">
        <v>5.15</v>
      </c>
      <c r="AB97">
        <v>0</v>
      </c>
      <c r="AC97">
        <v>0</v>
      </c>
      <c r="AD97">
        <v>0</v>
      </c>
      <c r="AE97">
        <v>1</v>
      </c>
      <c r="AF97">
        <v>0</v>
      </c>
      <c r="AG97">
        <v>0</v>
      </c>
      <c r="AH97">
        <v>0</v>
      </c>
      <c r="AI97">
        <v>5.15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0.85</v>
      </c>
      <c r="AV97">
        <v>0</v>
      </c>
      <c r="AW97">
        <v>2</v>
      </c>
      <c r="AX97">
        <v>44578937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Y97*Source!I91</f>
        <v>0.85</v>
      </c>
      <c r="CY97">
        <f>AA97</f>
        <v>5.15</v>
      </c>
      <c r="CZ97">
        <f>AE97</f>
        <v>1</v>
      </c>
      <c r="DA97">
        <f>AI97</f>
        <v>5.15</v>
      </c>
      <c r="DB97">
        <f>ROUND(ROUND(AT97*CZ97,2),2)</f>
        <v>0.85</v>
      </c>
      <c r="DC97">
        <f>ROUND(ROUND(AT97*AG97,2),2)</f>
        <v>0</v>
      </c>
    </row>
    <row r="98" spans="1:107" ht="12.75">
      <c r="A98">
        <f>ROW(Source!A92)</f>
        <v>92</v>
      </c>
      <c r="B98">
        <v>44571020</v>
      </c>
      <c r="C98">
        <v>44571587</v>
      </c>
      <c r="D98">
        <v>9915120</v>
      </c>
      <c r="E98">
        <v>1</v>
      </c>
      <c r="F98">
        <v>1</v>
      </c>
      <c r="G98">
        <v>1</v>
      </c>
      <c r="H98">
        <v>1</v>
      </c>
      <c r="I98" t="s">
        <v>500</v>
      </c>
      <c r="K98" t="s">
        <v>501</v>
      </c>
      <c r="L98">
        <v>1191</v>
      </c>
      <c r="N98">
        <v>1013</v>
      </c>
      <c r="O98" t="s">
        <v>445</v>
      </c>
      <c r="P98" t="s">
        <v>445</v>
      </c>
      <c r="Q98">
        <v>1</v>
      </c>
      <c r="W98">
        <v>0</v>
      </c>
      <c r="X98">
        <v>1028592258</v>
      </c>
      <c r="Y98">
        <v>20.412</v>
      </c>
      <c r="AA98">
        <v>0</v>
      </c>
      <c r="AB98">
        <v>0</v>
      </c>
      <c r="AC98">
        <v>0</v>
      </c>
      <c r="AD98">
        <v>270.5</v>
      </c>
      <c r="AE98">
        <v>0</v>
      </c>
      <c r="AF98">
        <v>0</v>
      </c>
      <c r="AG98">
        <v>0</v>
      </c>
      <c r="AH98">
        <v>9.35</v>
      </c>
      <c r="AI98">
        <v>1</v>
      </c>
      <c r="AJ98">
        <v>1</v>
      </c>
      <c r="AK98">
        <v>1</v>
      </c>
      <c r="AL98">
        <v>28.93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15.12</v>
      </c>
      <c r="AU98" t="s">
        <v>191</v>
      </c>
      <c r="AV98">
        <v>1</v>
      </c>
      <c r="AW98">
        <v>2</v>
      </c>
      <c r="AX98">
        <v>44571591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Y98*Source!I92</f>
        <v>0.81648</v>
      </c>
      <c r="CY98">
        <f>AD98</f>
        <v>270.5</v>
      </c>
      <c r="CZ98">
        <f>AH98</f>
        <v>9.35</v>
      </c>
      <c r="DA98">
        <f>AL98</f>
        <v>28.93</v>
      </c>
      <c r="DB98">
        <f>ROUND((ROUND(AT98*CZ98,2)*ROUND(1.35,7)),2)</f>
        <v>190.85</v>
      </c>
      <c r="DC98">
        <f>ROUND((ROUND(AT98*AG98,2)*ROUND(1.35,7)),2)</f>
        <v>0</v>
      </c>
    </row>
    <row r="99" spans="1:107" ht="12.75">
      <c r="A99">
        <f>ROW(Source!A92)</f>
        <v>92</v>
      </c>
      <c r="B99">
        <v>44571020</v>
      </c>
      <c r="C99">
        <v>44571587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28</v>
      </c>
      <c r="K99" t="s">
        <v>446</v>
      </c>
      <c r="L99">
        <v>608254</v>
      </c>
      <c r="N99">
        <v>1013</v>
      </c>
      <c r="O99" t="s">
        <v>447</v>
      </c>
      <c r="P99" t="s">
        <v>447</v>
      </c>
      <c r="Q99">
        <v>1</v>
      </c>
      <c r="W99">
        <v>0</v>
      </c>
      <c r="X99">
        <v>-185737400</v>
      </c>
      <c r="Y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28.93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</v>
      </c>
      <c r="AU99" t="s">
        <v>191</v>
      </c>
      <c r="AV99">
        <v>2</v>
      </c>
      <c r="AW99">
        <v>2</v>
      </c>
      <c r="AX99">
        <v>44571592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Y99*Source!I92</f>
        <v>0</v>
      </c>
      <c r="CY99">
        <f>AD99</f>
        <v>0</v>
      </c>
      <c r="CZ99">
        <f>AH99</f>
        <v>0</v>
      </c>
      <c r="DA99">
        <f>AL99</f>
        <v>1</v>
      </c>
      <c r="DB99">
        <f>ROUND((ROUND(AT99*CZ99,2)*ROUND(1.35,7)),2)</f>
        <v>0</v>
      </c>
      <c r="DC99">
        <f>ROUND((ROUND(AT99*AG99,2)*ROUND(1.35,7)),2)</f>
        <v>0</v>
      </c>
    </row>
    <row r="100" spans="1:107" ht="12.75">
      <c r="A100">
        <f>ROW(Source!A92)</f>
        <v>92</v>
      </c>
      <c r="B100">
        <v>44571020</v>
      </c>
      <c r="C100">
        <v>44571587</v>
      </c>
      <c r="D100">
        <v>14105700</v>
      </c>
      <c r="E100">
        <v>1</v>
      </c>
      <c r="F100">
        <v>1</v>
      </c>
      <c r="G100">
        <v>1</v>
      </c>
      <c r="H100">
        <v>3</v>
      </c>
      <c r="I100" t="s">
        <v>502</v>
      </c>
      <c r="J100" t="s">
        <v>503</v>
      </c>
      <c r="K100" t="s">
        <v>504</v>
      </c>
      <c r="L100">
        <v>1374</v>
      </c>
      <c r="N100">
        <v>1013</v>
      </c>
      <c r="O100" t="s">
        <v>505</v>
      </c>
      <c r="P100" t="s">
        <v>505</v>
      </c>
      <c r="Q100">
        <v>1</v>
      </c>
      <c r="W100">
        <v>0</v>
      </c>
      <c r="X100">
        <v>1723657366</v>
      </c>
      <c r="Y100">
        <v>2.83</v>
      </c>
      <c r="AA100">
        <v>5.15</v>
      </c>
      <c r="AB100">
        <v>0</v>
      </c>
      <c r="AC100">
        <v>0</v>
      </c>
      <c r="AD100">
        <v>0</v>
      </c>
      <c r="AE100">
        <v>1</v>
      </c>
      <c r="AF100">
        <v>0</v>
      </c>
      <c r="AG100">
        <v>0</v>
      </c>
      <c r="AH100">
        <v>0</v>
      </c>
      <c r="AI100">
        <v>5.15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2.83</v>
      </c>
      <c r="AV100">
        <v>0</v>
      </c>
      <c r="AW100">
        <v>2</v>
      </c>
      <c r="AX100">
        <v>44571593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Y100*Source!I92</f>
        <v>0.11320000000000001</v>
      </c>
      <c r="CY100">
        <f>AA100</f>
        <v>5.15</v>
      </c>
      <c r="CZ100">
        <f>AE100</f>
        <v>1</v>
      </c>
      <c r="DA100">
        <f>AI100</f>
        <v>5.15</v>
      </c>
      <c r="DB100">
        <f>ROUND(ROUND(AT100*CZ100,2),2)</f>
        <v>2.83</v>
      </c>
      <c r="DC100">
        <f>ROUND(ROUND(AT100*AG100,2),2)</f>
        <v>0</v>
      </c>
    </row>
    <row r="101" spans="1:107" ht="12.75">
      <c r="A101">
        <f>ROW(Source!A93)</f>
        <v>93</v>
      </c>
      <c r="B101">
        <v>44571020</v>
      </c>
      <c r="C101">
        <v>44571594</v>
      </c>
      <c r="D101">
        <v>9915120</v>
      </c>
      <c r="E101">
        <v>1</v>
      </c>
      <c r="F101">
        <v>1</v>
      </c>
      <c r="G101">
        <v>1</v>
      </c>
      <c r="H101">
        <v>1</v>
      </c>
      <c r="I101" t="s">
        <v>500</v>
      </c>
      <c r="K101" t="s">
        <v>501</v>
      </c>
      <c r="L101">
        <v>1191</v>
      </c>
      <c r="N101">
        <v>1013</v>
      </c>
      <c r="O101" t="s">
        <v>445</v>
      </c>
      <c r="P101" t="s">
        <v>445</v>
      </c>
      <c r="Q101">
        <v>1</v>
      </c>
      <c r="W101">
        <v>0</v>
      </c>
      <c r="X101">
        <v>1028592258</v>
      </c>
      <c r="Y101">
        <v>11.481599999999998</v>
      </c>
      <c r="AA101">
        <v>0</v>
      </c>
      <c r="AB101">
        <v>0</v>
      </c>
      <c r="AC101">
        <v>0</v>
      </c>
      <c r="AD101">
        <v>270.5</v>
      </c>
      <c r="AE101">
        <v>0</v>
      </c>
      <c r="AF101">
        <v>0</v>
      </c>
      <c r="AG101">
        <v>0</v>
      </c>
      <c r="AH101">
        <v>9.35</v>
      </c>
      <c r="AI101">
        <v>1</v>
      </c>
      <c r="AJ101">
        <v>1</v>
      </c>
      <c r="AK101">
        <v>1</v>
      </c>
      <c r="AL101">
        <v>28.93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8.32</v>
      </c>
      <c r="AU101" t="s">
        <v>86</v>
      </c>
      <c r="AV101">
        <v>1</v>
      </c>
      <c r="AW101">
        <v>2</v>
      </c>
      <c r="AX101">
        <v>44579107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Y101*Source!I93</f>
        <v>11.481599999999998</v>
      </c>
      <c r="CY101">
        <f>AD101</f>
        <v>270.5</v>
      </c>
      <c r="CZ101">
        <f>AH101</f>
        <v>9.35</v>
      </c>
      <c r="DA101">
        <f>AL101</f>
        <v>28.93</v>
      </c>
      <c r="DB101">
        <f>ROUND((ROUND(AT101*CZ101,2)*ROUND((1.15*1.2),7)),2)</f>
        <v>107.35</v>
      </c>
      <c r="DC101">
        <f>ROUND((ROUND(AT101*AG101,2)*ROUND((1.15*1.2),7)),2)</f>
        <v>0</v>
      </c>
    </row>
    <row r="102" spans="1:107" ht="12.75">
      <c r="A102">
        <f>ROW(Source!A93)</f>
        <v>93</v>
      </c>
      <c r="B102">
        <v>44571020</v>
      </c>
      <c r="C102">
        <v>44571594</v>
      </c>
      <c r="D102">
        <v>121548</v>
      </c>
      <c r="E102">
        <v>1</v>
      </c>
      <c r="F102">
        <v>1</v>
      </c>
      <c r="G102">
        <v>1</v>
      </c>
      <c r="H102">
        <v>1</v>
      </c>
      <c r="I102" t="s">
        <v>28</v>
      </c>
      <c r="K102" t="s">
        <v>446</v>
      </c>
      <c r="L102">
        <v>608254</v>
      </c>
      <c r="N102">
        <v>1013</v>
      </c>
      <c r="O102" t="s">
        <v>447</v>
      </c>
      <c r="P102" t="s">
        <v>447</v>
      </c>
      <c r="Q102">
        <v>1</v>
      </c>
      <c r="W102">
        <v>0</v>
      </c>
      <c r="X102">
        <v>-185737400</v>
      </c>
      <c r="Y102">
        <v>0.04139999999999999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28.93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0.03</v>
      </c>
      <c r="AU102" t="s">
        <v>86</v>
      </c>
      <c r="AV102">
        <v>2</v>
      </c>
      <c r="AW102">
        <v>2</v>
      </c>
      <c r="AX102">
        <v>44579108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Y102*Source!I93</f>
        <v>0.04139999999999999</v>
      </c>
      <c r="CY102">
        <f>AD102</f>
        <v>0</v>
      </c>
      <c r="CZ102">
        <f>AH102</f>
        <v>0</v>
      </c>
      <c r="DA102">
        <f>AL102</f>
        <v>1</v>
      </c>
      <c r="DB102">
        <f>ROUND((ROUND(AT102*CZ102,2)*ROUND((1.15*1.2),7)),2)</f>
        <v>0</v>
      </c>
      <c r="DC102">
        <f>ROUND((ROUND(AT102*AG102,2)*ROUND((1.15*1.2),7)),2)</f>
        <v>0</v>
      </c>
    </row>
    <row r="103" spans="1:107" ht="12.75">
      <c r="A103">
        <f>ROW(Source!A93)</f>
        <v>93</v>
      </c>
      <c r="B103">
        <v>44571020</v>
      </c>
      <c r="C103">
        <v>44571594</v>
      </c>
      <c r="D103">
        <v>13901789</v>
      </c>
      <c r="E103">
        <v>1</v>
      </c>
      <c r="F103">
        <v>1</v>
      </c>
      <c r="G103">
        <v>1</v>
      </c>
      <c r="H103">
        <v>2</v>
      </c>
      <c r="I103" t="s">
        <v>506</v>
      </c>
      <c r="J103" t="s">
        <v>507</v>
      </c>
      <c r="K103" t="s">
        <v>508</v>
      </c>
      <c r="L103">
        <v>1368</v>
      </c>
      <c r="N103">
        <v>1011</v>
      </c>
      <c r="O103" t="s">
        <v>453</v>
      </c>
      <c r="P103" t="s">
        <v>453</v>
      </c>
      <c r="Q103">
        <v>1</v>
      </c>
      <c r="W103">
        <v>0</v>
      </c>
      <c r="X103">
        <v>2102783</v>
      </c>
      <c r="Y103">
        <v>0.04139999999999999</v>
      </c>
      <c r="AA103">
        <v>0</v>
      </c>
      <c r="AB103">
        <v>1209.88</v>
      </c>
      <c r="AC103">
        <v>379.56</v>
      </c>
      <c r="AD103">
        <v>0</v>
      </c>
      <c r="AE103">
        <v>0</v>
      </c>
      <c r="AF103">
        <v>156.72</v>
      </c>
      <c r="AG103">
        <v>13.12</v>
      </c>
      <c r="AH103">
        <v>0</v>
      </c>
      <c r="AI103">
        <v>1</v>
      </c>
      <c r="AJ103">
        <v>7.72</v>
      </c>
      <c r="AK103">
        <v>28.93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0.03</v>
      </c>
      <c r="AU103" t="s">
        <v>86</v>
      </c>
      <c r="AV103">
        <v>0</v>
      </c>
      <c r="AW103">
        <v>2</v>
      </c>
      <c r="AX103">
        <v>44579109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Y103*Source!I93</f>
        <v>0.04139999999999999</v>
      </c>
      <c r="CY103">
        <f>AB103</f>
        <v>1209.88</v>
      </c>
      <c r="CZ103">
        <f>AF103</f>
        <v>156.72</v>
      </c>
      <c r="DA103">
        <f>AJ103</f>
        <v>7.72</v>
      </c>
      <c r="DB103">
        <f>ROUND((ROUND(AT103*CZ103,2)*ROUND((1.15*1.2),7)),2)</f>
        <v>6.49</v>
      </c>
      <c r="DC103">
        <f>ROUND((ROUND(AT103*AG103,2)*ROUND((1.15*1.2),7)),2)</f>
        <v>0.54</v>
      </c>
    </row>
    <row r="104" spans="1:107" ht="12.75">
      <c r="A104">
        <f>ROW(Source!A93)</f>
        <v>93</v>
      </c>
      <c r="B104">
        <v>44571020</v>
      </c>
      <c r="C104">
        <v>44571594</v>
      </c>
      <c r="D104">
        <v>13904227</v>
      </c>
      <c r="E104">
        <v>1</v>
      </c>
      <c r="F104">
        <v>1</v>
      </c>
      <c r="G104">
        <v>1</v>
      </c>
      <c r="H104">
        <v>2</v>
      </c>
      <c r="I104" t="s">
        <v>482</v>
      </c>
      <c r="J104" t="s">
        <v>483</v>
      </c>
      <c r="K104" t="s">
        <v>484</v>
      </c>
      <c r="L104">
        <v>1368</v>
      </c>
      <c r="N104">
        <v>1011</v>
      </c>
      <c r="O104" t="s">
        <v>453</v>
      </c>
      <c r="P104" t="s">
        <v>453</v>
      </c>
      <c r="Q104">
        <v>1</v>
      </c>
      <c r="W104">
        <v>0</v>
      </c>
      <c r="X104">
        <v>1849659131</v>
      </c>
      <c r="Y104">
        <v>0.04139999999999999</v>
      </c>
      <c r="AA104">
        <v>0</v>
      </c>
      <c r="AB104">
        <v>623.39</v>
      </c>
      <c r="AC104">
        <v>0</v>
      </c>
      <c r="AD104">
        <v>0</v>
      </c>
      <c r="AE104">
        <v>0</v>
      </c>
      <c r="AF104">
        <v>80.75</v>
      </c>
      <c r="AG104">
        <v>0</v>
      </c>
      <c r="AH104">
        <v>0</v>
      </c>
      <c r="AI104">
        <v>1</v>
      </c>
      <c r="AJ104">
        <v>7.72</v>
      </c>
      <c r="AK104">
        <v>28.93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0.03</v>
      </c>
      <c r="AU104" t="s">
        <v>86</v>
      </c>
      <c r="AV104">
        <v>0</v>
      </c>
      <c r="AW104">
        <v>2</v>
      </c>
      <c r="AX104">
        <v>44579110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Y104*Source!I93</f>
        <v>0.04139999999999999</v>
      </c>
      <c r="CY104">
        <f>AB104</f>
        <v>623.39</v>
      </c>
      <c r="CZ104">
        <f>AF104</f>
        <v>80.75</v>
      </c>
      <c r="DA104">
        <f>AJ104</f>
        <v>7.72</v>
      </c>
      <c r="DB104">
        <f>ROUND((ROUND(AT104*CZ104,2)*ROUND((1.15*1.2),7)),2)</f>
        <v>3.34</v>
      </c>
      <c r="DC104">
        <f>ROUND((ROUND(AT104*AG104,2)*ROUND((1.15*1.2),7)),2)</f>
        <v>0</v>
      </c>
    </row>
    <row r="105" spans="1:107" ht="12.75">
      <c r="A105">
        <f>ROW(Source!A93)</f>
        <v>93</v>
      </c>
      <c r="B105">
        <v>44571020</v>
      </c>
      <c r="C105">
        <v>44571594</v>
      </c>
      <c r="D105">
        <v>13905164</v>
      </c>
      <c r="E105">
        <v>1</v>
      </c>
      <c r="F105">
        <v>1</v>
      </c>
      <c r="G105">
        <v>1</v>
      </c>
      <c r="H105">
        <v>3</v>
      </c>
      <c r="I105" t="s">
        <v>540</v>
      </c>
      <c r="J105" t="s">
        <v>541</v>
      </c>
      <c r="K105" t="s">
        <v>542</v>
      </c>
      <c r="L105">
        <v>1348</v>
      </c>
      <c r="N105">
        <v>1009</v>
      </c>
      <c r="O105" t="s">
        <v>322</v>
      </c>
      <c r="P105" t="s">
        <v>322</v>
      </c>
      <c r="Q105">
        <v>1000</v>
      </c>
      <c r="W105">
        <v>0</v>
      </c>
      <c r="X105">
        <v>2084223003</v>
      </c>
      <c r="Y105">
        <v>0.0008</v>
      </c>
      <c r="AA105">
        <v>30778.46</v>
      </c>
      <c r="AB105">
        <v>0</v>
      </c>
      <c r="AC105">
        <v>0</v>
      </c>
      <c r="AD105">
        <v>0</v>
      </c>
      <c r="AE105">
        <v>5976.4</v>
      </c>
      <c r="AF105">
        <v>0</v>
      </c>
      <c r="AG105">
        <v>0</v>
      </c>
      <c r="AH105">
        <v>0</v>
      </c>
      <c r="AI105">
        <v>5.15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0.0008</v>
      </c>
      <c r="AV105">
        <v>0</v>
      </c>
      <c r="AW105">
        <v>2</v>
      </c>
      <c r="AX105">
        <v>44579111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Y105*Source!I93</f>
        <v>0.0008</v>
      </c>
      <c r="CY105">
        <f>AA105</f>
        <v>30778.46</v>
      </c>
      <c r="CZ105">
        <f>AE105</f>
        <v>5976.4</v>
      </c>
      <c r="DA105">
        <f>AI105</f>
        <v>5.15</v>
      </c>
      <c r="DB105">
        <f>ROUND(ROUND(AT105*CZ105,2),2)</f>
        <v>4.78</v>
      </c>
      <c r="DC105">
        <f>ROUND(ROUND(AT105*AG105,2),2)</f>
        <v>0</v>
      </c>
    </row>
    <row r="106" spans="1:107" ht="12.75">
      <c r="A106">
        <f>ROW(Source!A93)</f>
        <v>93</v>
      </c>
      <c r="B106">
        <v>44571020</v>
      </c>
      <c r="C106">
        <v>44571594</v>
      </c>
      <c r="D106">
        <v>13908077</v>
      </c>
      <c r="E106">
        <v>1</v>
      </c>
      <c r="F106">
        <v>1</v>
      </c>
      <c r="G106">
        <v>1</v>
      </c>
      <c r="H106">
        <v>3</v>
      </c>
      <c r="I106" t="s">
        <v>546</v>
      </c>
      <c r="J106" t="s">
        <v>547</v>
      </c>
      <c r="K106" t="s">
        <v>548</v>
      </c>
      <c r="L106">
        <v>1346</v>
      </c>
      <c r="N106">
        <v>1009</v>
      </c>
      <c r="O106" t="s">
        <v>222</v>
      </c>
      <c r="P106" t="s">
        <v>222</v>
      </c>
      <c r="Q106">
        <v>1</v>
      </c>
      <c r="W106">
        <v>0</v>
      </c>
      <c r="X106">
        <v>1581149146</v>
      </c>
      <c r="Y106">
        <v>3.3</v>
      </c>
      <c r="AA106">
        <v>21.42</v>
      </c>
      <c r="AB106">
        <v>0</v>
      </c>
      <c r="AC106">
        <v>0</v>
      </c>
      <c r="AD106">
        <v>0</v>
      </c>
      <c r="AE106">
        <v>4.16</v>
      </c>
      <c r="AF106">
        <v>0</v>
      </c>
      <c r="AG106">
        <v>0</v>
      </c>
      <c r="AH106">
        <v>0</v>
      </c>
      <c r="AI106">
        <v>5.15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3.3</v>
      </c>
      <c r="AV106">
        <v>0</v>
      </c>
      <c r="AW106">
        <v>2</v>
      </c>
      <c r="AX106">
        <v>44579112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Y106*Source!I93</f>
        <v>3.3</v>
      </c>
      <c r="CY106">
        <f>AA106</f>
        <v>21.42</v>
      </c>
      <c r="CZ106">
        <f>AE106</f>
        <v>4.16</v>
      </c>
      <c r="DA106">
        <f>AI106</f>
        <v>5.15</v>
      </c>
      <c r="DB106">
        <f>ROUND(ROUND(AT106*CZ106,2),2)</f>
        <v>13.73</v>
      </c>
      <c r="DC106">
        <f>ROUND(ROUND(AT106*AG106,2),2)</f>
        <v>0</v>
      </c>
    </row>
    <row r="107" spans="1:107" ht="12.75">
      <c r="A107">
        <f>ROW(Source!A93)</f>
        <v>93</v>
      </c>
      <c r="B107">
        <v>44571020</v>
      </c>
      <c r="C107">
        <v>44571594</v>
      </c>
      <c r="D107">
        <v>13908341</v>
      </c>
      <c r="E107">
        <v>1</v>
      </c>
      <c r="F107">
        <v>1</v>
      </c>
      <c r="G107">
        <v>1</v>
      </c>
      <c r="H107">
        <v>3</v>
      </c>
      <c r="I107" t="s">
        <v>524</v>
      </c>
      <c r="J107" t="s">
        <v>525</v>
      </c>
      <c r="K107" t="s">
        <v>526</v>
      </c>
      <c r="L107">
        <v>1308</v>
      </c>
      <c r="N107">
        <v>1003</v>
      </c>
      <c r="O107" t="s">
        <v>527</v>
      </c>
      <c r="P107" t="s">
        <v>527</v>
      </c>
      <c r="Q107">
        <v>100</v>
      </c>
      <c r="W107">
        <v>0</v>
      </c>
      <c r="X107">
        <v>2010740808</v>
      </c>
      <c r="Y107">
        <v>0.0024</v>
      </c>
      <c r="AA107">
        <v>594.57</v>
      </c>
      <c r="AB107">
        <v>0</v>
      </c>
      <c r="AC107">
        <v>0</v>
      </c>
      <c r="AD107">
        <v>0</v>
      </c>
      <c r="AE107">
        <v>115.45</v>
      </c>
      <c r="AF107">
        <v>0</v>
      </c>
      <c r="AG107">
        <v>0</v>
      </c>
      <c r="AH107">
        <v>0</v>
      </c>
      <c r="AI107">
        <v>5.15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0.0024</v>
      </c>
      <c r="AV107">
        <v>0</v>
      </c>
      <c r="AW107">
        <v>2</v>
      </c>
      <c r="AX107">
        <v>44579113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Y107*Source!I93</f>
        <v>0.0024</v>
      </c>
      <c r="CY107">
        <f>AA107</f>
        <v>594.57</v>
      </c>
      <c r="CZ107">
        <f>AE107</f>
        <v>115.45</v>
      </c>
      <c r="DA107">
        <f>AI107</f>
        <v>5.15</v>
      </c>
      <c r="DB107">
        <f>ROUND(ROUND(AT107*CZ107,2),2)</f>
        <v>0.28</v>
      </c>
      <c r="DC107">
        <f>ROUND(ROUND(AT107*AG107,2),2)</f>
        <v>0</v>
      </c>
    </row>
    <row r="108" spans="1:107" ht="12.75">
      <c r="A108">
        <f>ROW(Source!A93)</f>
        <v>93</v>
      </c>
      <c r="B108">
        <v>44571020</v>
      </c>
      <c r="C108">
        <v>44571594</v>
      </c>
      <c r="D108">
        <v>14010598</v>
      </c>
      <c r="E108">
        <v>1</v>
      </c>
      <c r="F108">
        <v>1</v>
      </c>
      <c r="G108">
        <v>1</v>
      </c>
      <c r="H108">
        <v>3</v>
      </c>
      <c r="I108" t="s">
        <v>543</v>
      </c>
      <c r="J108" t="s">
        <v>544</v>
      </c>
      <c r="K108" t="s">
        <v>545</v>
      </c>
      <c r="L108">
        <v>1348</v>
      </c>
      <c r="N108">
        <v>1009</v>
      </c>
      <c r="O108" t="s">
        <v>322</v>
      </c>
      <c r="P108" t="s">
        <v>322</v>
      </c>
      <c r="Q108">
        <v>1000</v>
      </c>
      <c r="W108">
        <v>0</v>
      </c>
      <c r="X108">
        <v>1138560716</v>
      </c>
      <c r="Y108">
        <v>2E-05</v>
      </c>
      <c r="AA108">
        <v>49842.83</v>
      </c>
      <c r="AB108">
        <v>0</v>
      </c>
      <c r="AC108">
        <v>0</v>
      </c>
      <c r="AD108">
        <v>0</v>
      </c>
      <c r="AE108">
        <v>9678.22</v>
      </c>
      <c r="AF108">
        <v>0</v>
      </c>
      <c r="AG108">
        <v>0</v>
      </c>
      <c r="AH108">
        <v>0</v>
      </c>
      <c r="AI108">
        <v>5.15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2E-05</v>
      </c>
      <c r="AV108">
        <v>0</v>
      </c>
      <c r="AW108">
        <v>2</v>
      </c>
      <c r="AX108">
        <v>44579114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Y108*Source!I93</f>
        <v>2E-05</v>
      </c>
      <c r="CY108">
        <f>AA108</f>
        <v>49842.83</v>
      </c>
      <c r="CZ108">
        <f>AE108</f>
        <v>9678.22</v>
      </c>
      <c r="DA108">
        <f>AI108</f>
        <v>5.15</v>
      </c>
      <c r="DB108">
        <f>ROUND(ROUND(AT108*CZ108,2),2)</f>
        <v>0.19</v>
      </c>
      <c r="DC108">
        <f>ROUND(ROUND(AT108*AG108,2),2)</f>
        <v>0</v>
      </c>
    </row>
    <row r="109" spans="1:107" ht="12.75">
      <c r="A109">
        <f>ROW(Source!A93)</f>
        <v>93</v>
      </c>
      <c r="B109">
        <v>44571020</v>
      </c>
      <c r="C109">
        <v>44571594</v>
      </c>
      <c r="D109">
        <v>14105700</v>
      </c>
      <c r="E109">
        <v>1</v>
      </c>
      <c r="F109">
        <v>1</v>
      </c>
      <c r="G109">
        <v>1</v>
      </c>
      <c r="H109">
        <v>3</v>
      </c>
      <c r="I109" t="s">
        <v>502</v>
      </c>
      <c r="J109" t="s">
        <v>503</v>
      </c>
      <c r="K109" t="s">
        <v>504</v>
      </c>
      <c r="L109">
        <v>1374</v>
      </c>
      <c r="N109">
        <v>1013</v>
      </c>
      <c r="O109" t="s">
        <v>505</v>
      </c>
      <c r="P109" t="s">
        <v>505</v>
      </c>
      <c r="Q109">
        <v>1</v>
      </c>
      <c r="W109">
        <v>0</v>
      </c>
      <c r="X109">
        <v>1723657366</v>
      </c>
      <c r="Y109">
        <v>1.56</v>
      </c>
      <c r="AA109">
        <v>5.15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0</v>
      </c>
      <c r="AI109">
        <v>5.15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1.56</v>
      </c>
      <c r="AV109">
        <v>0</v>
      </c>
      <c r="AW109">
        <v>2</v>
      </c>
      <c r="AX109">
        <v>44579115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Y109*Source!I93</f>
        <v>1.56</v>
      </c>
      <c r="CY109">
        <f>AA109</f>
        <v>5.15</v>
      </c>
      <c r="CZ109">
        <f>AE109</f>
        <v>1</v>
      </c>
      <c r="DA109">
        <f>AI109</f>
        <v>5.15</v>
      </c>
      <c r="DB109">
        <f>ROUND(ROUND(AT109*CZ109,2),2)</f>
        <v>1.56</v>
      </c>
      <c r="DC109">
        <f>ROUND(ROUND(AT109*AG109,2),2)</f>
        <v>0</v>
      </c>
    </row>
    <row r="110" spans="1:107" ht="12.75">
      <c r="A110">
        <f>ROW(Source!A94)</f>
        <v>94</v>
      </c>
      <c r="B110">
        <v>44571020</v>
      </c>
      <c r="C110">
        <v>44571613</v>
      </c>
      <c r="D110">
        <v>9915120</v>
      </c>
      <c r="E110">
        <v>1</v>
      </c>
      <c r="F110">
        <v>1</v>
      </c>
      <c r="G110">
        <v>1</v>
      </c>
      <c r="H110">
        <v>1</v>
      </c>
      <c r="I110" t="s">
        <v>500</v>
      </c>
      <c r="K110" t="s">
        <v>501</v>
      </c>
      <c r="L110">
        <v>1191</v>
      </c>
      <c r="N110">
        <v>1013</v>
      </c>
      <c r="O110" t="s">
        <v>445</v>
      </c>
      <c r="P110" t="s">
        <v>445</v>
      </c>
      <c r="Q110">
        <v>1</v>
      </c>
      <c r="W110">
        <v>0</v>
      </c>
      <c r="X110">
        <v>1028592258</v>
      </c>
      <c r="Y110">
        <v>0.5243999999999999</v>
      </c>
      <c r="AA110">
        <v>0</v>
      </c>
      <c r="AB110">
        <v>0</v>
      </c>
      <c r="AC110">
        <v>0</v>
      </c>
      <c r="AD110">
        <v>270.5</v>
      </c>
      <c r="AE110">
        <v>0</v>
      </c>
      <c r="AF110">
        <v>0</v>
      </c>
      <c r="AG110">
        <v>0</v>
      </c>
      <c r="AH110">
        <v>9.35</v>
      </c>
      <c r="AI110">
        <v>1</v>
      </c>
      <c r="AJ110">
        <v>1</v>
      </c>
      <c r="AK110">
        <v>1</v>
      </c>
      <c r="AL110">
        <v>28.93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0.38</v>
      </c>
      <c r="AU110" t="s">
        <v>86</v>
      </c>
      <c r="AV110">
        <v>1</v>
      </c>
      <c r="AW110">
        <v>2</v>
      </c>
      <c r="AX110">
        <v>44571620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Y110*Source!I94</f>
        <v>3.146399999999999</v>
      </c>
      <c r="CY110">
        <f>AD110</f>
        <v>270.5</v>
      </c>
      <c r="CZ110">
        <f>AH110</f>
        <v>9.35</v>
      </c>
      <c r="DA110">
        <f>AL110</f>
        <v>28.93</v>
      </c>
      <c r="DB110">
        <f>ROUND((ROUND(AT110*CZ110,2)*ROUND((1.15*1.2),7)),2)</f>
        <v>4.9</v>
      </c>
      <c r="DC110">
        <f>ROUND((ROUND(AT110*AG110,2)*ROUND((1.15*1.2),7)),2)</f>
        <v>0</v>
      </c>
    </row>
    <row r="111" spans="1:107" ht="12.75">
      <c r="A111">
        <f>ROW(Source!A94)</f>
        <v>94</v>
      </c>
      <c r="B111">
        <v>44571020</v>
      </c>
      <c r="C111">
        <v>44571613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28</v>
      </c>
      <c r="K111" t="s">
        <v>446</v>
      </c>
      <c r="L111">
        <v>608254</v>
      </c>
      <c r="N111">
        <v>1013</v>
      </c>
      <c r="O111" t="s">
        <v>447</v>
      </c>
      <c r="P111" t="s">
        <v>447</v>
      </c>
      <c r="Q111">
        <v>1</v>
      </c>
      <c r="W111">
        <v>0</v>
      </c>
      <c r="X111">
        <v>-185737400</v>
      </c>
      <c r="Y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28.93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</v>
      </c>
      <c r="AU111" t="s">
        <v>86</v>
      </c>
      <c r="AV111">
        <v>2</v>
      </c>
      <c r="AW111">
        <v>2</v>
      </c>
      <c r="AX111">
        <v>44571621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Y111*Source!I94</f>
        <v>0</v>
      </c>
      <c r="CY111">
        <f>AD111</f>
        <v>0</v>
      </c>
      <c r="CZ111">
        <f>AH111</f>
        <v>0</v>
      </c>
      <c r="DA111">
        <f>AL111</f>
        <v>1</v>
      </c>
      <c r="DB111">
        <f>ROUND((ROUND(AT111*CZ111,2)*ROUND((1.15*1.2),7)),2)</f>
        <v>0</v>
      </c>
      <c r="DC111">
        <f>ROUND((ROUND(AT111*AG111,2)*ROUND((1.15*1.2),7)),2)</f>
        <v>0</v>
      </c>
    </row>
    <row r="112" spans="1:107" ht="12.75">
      <c r="A112">
        <f>ROW(Source!A94)</f>
        <v>94</v>
      </c>
      <c r="B112">
        <v>44571020</v>
      </c>
      <c r="C112">
        <v>44571613</v>
      </c>
      <c r="D112">
        <v>13907403</v>
      </c>
      <c r="E112">
        <v>1</v>
      </c>
      <c r="F112">
        <v>1</v>
      </c>
      <c r="G112">
        <v>1</v>
      </c>
      <c r="H112">
        <v>3</v>
      </c>
      <c r="I112" t="s">
        <v>549</v>
      </c>
      <c r="J112" t="s">
        <v>550</v>
      </c>
      <c r="K112" t="s">
        <v>551</v>
      </c>
      <c r="L112">
        <v>1346</v>
      </c>
      <c r="N112">
        <v>1009</v>
      </c>
      <c r="O112" t="s">
        <v>222</v>
      </c>
      <c r="P112" t="s">
        <v>222</v>
      </c>
      <c r="Q112">
        <v>1</v>
      </c>
      <c r="W112">
        <v>0</v>
      </c>
      <c r="X112">
        <v>-587195949</v>
      </c>
      <c r="Y112">
        <v>0.15</v>
      </c>
      <c r="AA112">
        <v>49.13</v>
      </c>
      <c r="AB112">
        <v>0</v>
      </c>
      <c r="AC112">
        <v>0</v>
      </c>
      <c r="AD112">
        <v>0</v>
      </c>
      <c r="AE112">
        <v>9.54</v>
      </c>
      <c r="AF112">
        <v>0</v>
      </c>
      <c r="AG112">
        <v>0</v>
      </c>
      <c r="AH112">
        <v>0</v>
      </c>
      <c r="AI112">
        <v>5.15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0.15</v>
      </c>
      <c r="AV112">
        <v>0</v>
      </c>
      <c r="AW112">
        <v>2</v>
      </c>
      <c r="AX112">
        <v>44571622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Y112*Source!I94</f>
        <v>0.8999999999999999</v>
      </c>
      <c r="CY112">
        <f>AA112</f>
        <v>49.13</v>
      </c>
      <c r="CZ112">
        <f>AE112</f>
        <v>9.54</v>
      </c>
      <c r="DA112">
        <f>AI112</f>
        <v>5.15</v>
      </c>
      <c r="DB112">
        <f>ROUND(ROUND(AT112*CZ112,2),2)</f>
        <v>1.43</v>
      </c>
      <c r="DC112">
        <f>ROUND(ROUND(AT112*AG112,2),2)</f>
        <v>0</v>
      </c>
    </row>
    <row r="113" spans="1:107" ht="12.75">
      <c r="A113">
        <f>ROW(Source!A94)</f>
        <v>94</v>
      </c>
      <c r="B113">
        <v>44571020</v>
      </c>
      <c r="C113">
        <v>44571613</v>
      </c>
      <c r="D113">
        <v>14010168</v>
      </c>
      <c r="E113">
        <v>1</v>
      </c>
      <c r="F113">
        <v>1</v>
      </c>
      <c r="G113">
        <v>1</v>
      </c>
      <c r="H113">
        <v>3</v>
      </c>
      <c r="I113" t="s">
        <v>220</v>
      </c>
      <c r="J113" t="s">
        <v>223</v>
      </c>
      <c r="K113" t="s">
        <v>221</v>
      </c>
      <c r="L113">
        <v>1346</v>
      </c>
      <c r="N113">
        <v>1009</v>
      </c>
      <c r="O113" t="s">
        <v>222</v>
      </c>
      <c r="P113" t="s">
        <v>222</v>
      </c>
      <c r="Q113">
        <v>1</v>
      </c>
      <c r="W113">
        <v>1</v>
      </c>
      <c r="X113">
        <v>-1780330431</v>
      </c>
      <c r="Y113">
        <v>-0.72</v>
      </c>
      <c r="AA113">
        <v>102.69</v>
      </c>
      <c r="AB113">
        <v>0</v>
      </c>
      <c r="AC113">
        <v>0</v>
      </c>
      <c r="AD113">
        <v>0</v>
      </c>
      <c r="AE113">
        <v>19.94</v>
      </c>
      <c r="AF113">
        <v>0</v>
      </c>
      <c r="AG113">
        <v>0</v>
      </c>
      <c r="AH113">
        <v>0</v>
      </c>
      <c r="AI113">
        <v>5.15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-0.72</v>
      </c>
      <c r="AV113">
        <v>0</v>
      </c>
      <c r="AW113">
        <v>2</v>
      </c>
      <c r="AX113">
        <v>44571623</v>
      </c>
      <c r="AY113">
        <v>1</v>
      </c>
      <c r="AZ113">
        <v>6144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Y113*Source!I94</f>
        <v>-4.32</v>
      </c>
      <c r="CY113">
        <f>AA113</f>
        <v>102.69</v>
      </c>
      <c r="CZ113">
        <f>AE113</f>
        <v>19.94</v>
      </c>
      <c r="DA113">
        <f>AI113</f>
        <v>5.15</v>
      </c>
      <c r="DB113">
        <f>ROUND(ROUND(AT113*CZ113,2),2)</f>
        <v>-14.36</v>
      </c>
      <c r="DC113">
        <f>ROUND(ROUND(AT113*AG113,2),2)</f>
        <v>0</v>
      </c>
    </row>
    <row r="114" spans="1:107" ht="12.75">
      <c r="A114">
        <f>ROW(Source!A94)</f>
        <v>94</v>
      </c>
      <c r="B114">
        <v>44571020</v>
      </c>
      <c r="C114">
        <v>44571613</v>
      </c>
      <c r="D114">
        <v>14010331</v>
      </c>
      <c r="E114">
        <v>1</v>
      </c>
      <c r="F114">
        <v>1</v>
      </c>
      <c r="G114">
        <v>1</v>
      </c>
      <c r="H114">
        <v>3</v>
      </c>
      <c r="I114" t="s">
        <v>552</v>
      </c>
      <c r="J114" t="s">
        <v>553</v>
      </c>
      <c r="K114" t="s">
        <v>554</v>
      </c>
      <c r="L114">
        <v>1348</v>
      </c>
      <c r="N114">
        <v>1009</v>
      </c>
      <c r="O114" t="s">
        <v>322</v>
      </c>
      <c r="P114" t="s">
        <v>322</v>
      </c>
      <c r="Q114">
        <v>1000</v>
      </c>
      <c r="W114">
        <v>0</v>
      </c>
      <c r="X114">
        <v>-2119022289</v>
      </c>
      <c r="Y114">
        <v>6E-05</v>
      </c>
      <c r="AA114">
        <v>165718.3</v>
      </c>
      <c r="AB114">
        <v>0</v>
      </c>
      <c r="AC114">
        <v>0</v>
      </c>
      <c r="AD114">
        <v>0</v>
      </c>
      <c r="AE114">
        <v>32178.31</v>
      </c>
      <c r="AF114">
        <v>0</v>
      </c>
      <c r="AG114">
        <v>0</v>
      </c>
      <c r="AH114">
        <v>0</v>
      </c>
      <c r="AI114">
        <v>5.15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6E-05</v>
      </c>
      <c r="AV114">
        <v>0</v>
      </c>
      <c r="AW114">
        <v>2</v>
      </c>
      <c r="AX114">
        <v>44571624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Y114*Source!I94</f>
        <v>0.00036</v>
      </c>
      <c r="CY114">
        <f>AA114</f>
        <v>165718.3</v>
      </c>
      <c r="CZ114">
        <f>AE114</f>
        <v>32178.31</v>
      </c>
      <c r="DA114">
        <f>AI114</f>
        <v>5.15</v>
      </c>
      <c r="DB114">
        <f>ROUND(ROUND(AT114*CZ114,2),2)</f>
        <v>1.93</v>
      </c>
      <c r="DC114">
        <f>ROUND(ROUND(AT114*AG114,2),2)</f>
        <v>0</v>
      </c>
    </row>
    <row r="115" spans="1:107" ht="12.75">
      <c r="A115">
        <f>ROW(Source!A94)</f>
        <v>94</v>
      </c>
      <c r="B115">
        <v>44571020</v>
      </c>
      <c r="C115">
        <v>44571613</v>
      </c>
      <c r="D115">
        <v>14105700</v>
      </c>
      <c r="E115">
        <v>1</v>
      </c>
      <c r="F115">
        <v>1</v>
      </c>
      <c r="G115">
        <v>1</v>
      </c>
      <c r="H115">
        <v>3</v>
      </c>
      <c r="I115" t="s">
        <v>502</v>
      </c>
      <c r="J115" t="s">
        <v>503</v>
      </c>
      <c r="K115" t="s">
        <v>504</v>
      </c>
      <c r="L115">
        <v>1374</v>
      </c>
      <c r="N115">
        <v>1013</v>
      </c>
      <c r="O115" t="s">
        <v>505</v>
      </c>
      <c r="P115" t="s">
        <v>505</v>
      </c>
      <c r="Q115">
        <v>1</v>
      </c>
      <c r="W115">
        <v>0</v>
      </c>
      <c r="X115">
        <v>1723657366</v>
      </c>
      <c r="Y115">
        <v>0.07</v>
      </c>
      <c r="AA115">
        <v>5.15</v>
      </c>
      <c r="AB115">
        <v>0</v>
      </c>
      <c r="AC115">
        <v>0</v>
      </c>
      <c r="AD115">
        <v>0</v>
      </c>
      <c r="AE115">
        <v>1</v>
      </c>
      <c r="AF115">
        <v>0</v>
      </c>
      <c r="AG115">
        <v>0</v>
      </c>
      <c r="AH115">
        <v>0</v>
      </c>
      <c r="AI115">
        <v>5.15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0.07</v>
      </c>
      <c r="AV115">
        <v>0</v>
      </c>
      <c r="AW115">
        <v>2</v>
      </c>
      <c r="AX115">
        <v>44571625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Y115*Source!I94</f>
        <v>0.42000000000000004</v>
      </c>
      <c r="CY115">
        <f>AA115</f>
        <v>5.15</v>
      </c>
      <c r="CZ115">
        <f>AE115</f>
        <v>1</v>
      </c>
      <c r="DA115">
        <f>AI115</f>
        <v>5.15</v>
      </c>
      <c r="DB115">
        <f>ROUND(ROUND(AT115*CZ115,2),2)</f>
        <v>0.07</v>
      </c>
      <c r="DC115">
        <f>ROUND(ROUND(AT115*AG115,2),2)</f>
        <v>0</v>
      </c>
    </row>
    <row r="116" spans="1:107" ht="12.75">
      <c r="A116">
        <f>ROW(Source!A96)</f>
        <v>96</v>
      </c>
      <c r="B116">
        <v>44571020</v>
      </c>
      <c r="C116">
        <v>44580391</v>
      </c>
      <c r="D116">
        <v>9928470</v>
      </c>
      <c r="E116">
        <v>1</v>
      </c>
      <c r="F116">
        <v>1</v>
      </c>
      <c r="G116">
        <v>1</v>
      </c>
      <c r="H116">
        <v>1</v>
      </c>
      <c r="I116" t="s">
        <v>555</v>
      </c>
      <c r="K116" t="s">
        <v>556</v>
      </c>
      <c r="L116">
        <v>1191</v>
      </c>
      <c r="N116">
        <v>1013</v>
      </c>
      <c r="O116" t="s">
        <v>445</v>
      </c>
      <c r="P116" t="s">
        <v>445</v>
      </c>
      <c r="Q116">
        <v>1</v>
      </c>
      <c r="W116">
        <v>0</v>
      </c>
      <c r="X116">
        <v>-999814228</v>
      </c>
      <c r="Y116">
        <v>1.6605</v>
      </c>
      <c r="AA116">
        <v>0</v>
      </c>
      <c r="AB116">
        <v>0</v>
      </c>
      <c r="AC116">
        <v>0</v>
      </c>
      <c r="AD116">
        <v>303.48</v>
      </c>
      <c r="AE116">
        <v>0</v>
      </c>
      <c r="AF116">
        <v>0</v>
      </c>
      <c r="AG116">
        <v>0</v>
      </c>
      <c r="AH116">
        <v>10.49</v>
      </c>
      <c r="AI116">
        <v>1</v>
      </c>
      <c r="AJ116">
        <v>1</v>
      </c>
      <c r="AK116">
        <v>1</v>
      </c>
      <c r="AL116">
        <v>28.93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1.23</v>
      </c>
      <c r="AU116" t="s">
        <v>191</v>
      </c>
      <c r="AV116">
        <v>1</v>
      </c>
      <c r="AW116">
        <v>2</v>
      </c>
      <c r="AX116">
        <v>44580392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Y116*Source!I96</f>
        <v>4.9815000000000005</v>
      </c>
      <c r="CY116">
        <f>AD116</f>
        <v>303.48</v>
      </c>
      <c r="CZ116">
        <f>AH116</f>
        <v>10.49</v>
      </c>
      <c r="DA116">
        <f>AL116</f>
        <v>28.93</v>
      </c>
      <c r="DB116">
        <f>ROUND((ROUND(AT116*CZ116,2)*ROUND(1.35,7)),2)</f>
        <v>17.42</v>
      </c>
      <c r="DC116">
        <f>ROUND((ROUND(AT116*AG116,2)*ROUND(1.35,7)),2)</f>
        <v>0</v>
      </c>
    </row>
    <row r="117" spans="1:107" ht="12.75">
      <c r="A117">
        <f>ROW(Source!A96)</f>
        <v>96</v>
      </c>
      <c r="B117">
        <v>44571020</v>
      </c>
      <c r="C117">
        <v>44580391</v>
      </c>
      <c r="D117">
        <v>121548</v>
      </c>
      <c r="E117">
        <v>1</v>
      </c>
      <c r="F117">
        <v>1</v>
      </c>
      <c r="G117">
        <v>1</v>
      </c>
      <c r="H117">
        <v>1</v>
      </c>
      <c r="I117" t="s">
        <v>28</v>
      </c>
      <c r="K117" t="s">
        <v>446</v>
      </c>
      <c r="L117">
        <v>608254</v>
      </c>
      <c r="N117">
        <v>1013</v>
      </c>
      <c r="O117" t="s">
        <v>447</v>
      </c>
      <c r="P117" t="s">
        <v>447</v>
      </c>
      <c r="Q117">
        <v>1</v>
      </c>
      <c r="W117">
        <v>0</v>
      </c>
      <c r="X117">
        <v>-185737400</v>
      </c>
      <c r="Y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28.93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0</v>
      </c>
      <c r="AU117" t="s">
        <v>191</v>
      </c>
      <c r="AV117">
        <v>2</v>
      </c>
      <c r="AW117">
        <v>2</v>
      </c>
      <c r="AX117">
        <v>44580393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Y117*Source!I96</f>
        <v>0</v>
      </c>
      <c r="CY117">
        <f>AD117</f>
        <v>0</v>
      </c>
      <c r="CZ117">
        <f>AH117</f>
        <v>0</v>
      </c>
      <c r="DA117">
        <f>AL117</f>
        <v>1</v>
      </c>
      <c r="DB117">
        <f>ROUND((ROUND(AT117*CZ117,2)*ROUND(1.35,7)),2)</f>
        <v>0</v>
      </c>
      <c r="DC117">
        <f>ROUND((ROUND(AT117*AG117,2)*ROUND(1.35,7)),2)</f>
        <v>0</v>
      </c>
    </row>
    <row r="118" spans="1:107" ht="12.75">
      <c r="A118">
        <f>ROW(Source!A96)</f>
        <v>96</v>
      </c>
      <c r="B118">
        <v>44571020</v>
      </c>
      <c r="C118">
        <v>44580391</v>
      </c>
      <c r="D118">
        <v>13903812</v>
      </c>
      <c r="E118">
        <v>1</v>
      </c>
      <c r="F118">
        <v>1</v>
      </c>
      <c r="G118">
        <v>1</v>
      </c>
      <c r="H118">
        <v>2</v>
      </c>
      <c r="I118" t="s">
        <v>557</v>
      </c>
      <c r="J118" t="s">
        <v>558</v>
      </c>
      <c r="K118" t="s">
        <v>559</v>
      </c>
      <c r="L118">
        <v>1368</v>
      </c>
      <c r="N118">
        <v>1011</v>
      </c>
      <c r="O118" t="s">
        <v>453</v>
      </c>
      <c r="P118" t="s">
        <v>453</v>
      </c>
      <c r="Q118">
        <v>1</v>
      </c>
      <c r="W118">
        <v>0</v>
      </c>
      <c r="X118">
        <v>-124752544</v>
      </c>
      <c r="Y118">
        <v>0.081</v>
      </c>
      <c r="AA118">
        <v>0</v>
      </c>
      <c r="AB118">
        <v>18.84</v>
      </c>
      <c r="AC118">
        <v>0</v>
      </c>
      <c r="AD118">
        <v>0</v>
      </c>
      <c r="AE118">
        <v>0</v>
      </c>
      <c r="AF118">
        <v>2.44</v>
      </c>
      <c r="AG118">
        <v>0</v>
      </c>
      <c r="AH118">
        <v>0</v>
      </c>
      <c r="AI118">
        <v>1</v>
      </c>
      <c r="AJ118">
        <v>7.72</v>
      </c>
      <c r="AK118">
        <v>28.93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0.06</v>
      </c>
      <c r="AU118" t="s">
        <v>191</v>
      </c>
      <c r="AV118">
        <v>0</v>
      </c>
      <c r="AW118">
        <v>2</v>
      </c>
      <c r="AX118">
        <v>44580394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Y118*Source!I96</f>
        <v>0.243</v>
      </c>
      <c r="CY118">
        <f>AB118</f>
        <v>18.84</v>
      </c>
      <c r="CZ118">
        <f>AF118</f>
        <v>2.44</v>
      </c>
      <c r="DA118">
        <f>AJ118</f>
        <v>7.72</v>
      </c>
      <c r="DB118">
        <f>ROUND((ROUND(AT118*CZ118,2)*ROUND(1.35,7)),2)</f>
        <v>0.2</v>
      </c>
      <c r="DC118">
        <f>ROUND((ROUND(AT118*AG118,2)*ROUND(1.35,7)),2)</f>
        <v>0</v>
      </c>
    </row>
    <row r="119" spans="1:107" ht="12.75">
      <c r="A119">
        <f>ROW(Source!A96)</f>
        <v>96</v>
      </c>
      <c r="B119">
        <v>44571020</v>
      </c>
      <c r="C119">
        <v>44580391</v>
      </c>
      <c r="D119">
        <v>13904004</v>
      </c>
      <c r="E119">
        <v>1</v>
      </c>
      <c r="F119">
        <v>1</v>
      </c>
      <c r="G119">
        <v>1</v>
      </c>
      <c r="H119">
        <v>2</v>
      </c>
      <c r="I119" t="s">
        <v>560</v>
      </c>
      <c r="J119" t="s">
        <v>561</v>
      </c>
      <c r="K119" t="s">
        <v>562</v>
      </c>
      <c r="L119">
        <v>1368</v>
      </c>
      <c r="N119">
        <v>1011</v>
      </c>
      <c r="O119" t="s">
        <v>453</v>
      </c>
      <c r="P119" t="s">
        <v>453</v>
      </c>
      <c r="Q119">
        <v>1</v>
      </c>
      <c r="W119">
        <v>0</v>
      </c>
      <c r="X119">
        <v>-553565795</v>
      </c>
      <c r="Y119">
        <v>0.135</v>
      </c>
      <c r="AA119">
        <v>0</v>
      </c>
      <c r="AB119">
        <v>10.34</v>
      </c>
      <c r="AC119">
        <v>0</v>
      </c>
      <c r="AD119">
        <v>0</v>
      </c>
      <c r="AE119">
        <v>0</v>
      </c>
      <c r="AF119">
        <v>1.34</v>
      </c>
      <c r="AG119">
        <v>0</v>
      </c>
      <c r="AH119">
        <v>0</v>
      </c>
      <c r="AI119">
        <v>1</v>
      </c>
      <c r="AJ119">
        <v>7.72</v>
      </c>
      <c r="AK119">
        <v>28.93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0.1</v>
      </c>
      <c r="AU119" t="s">
        <v>191</v>
      </c>
      <c r="AV119">
        <v>0</v>
      </c>
      <c r="AW119">
        <v>2</v>
      </c>
      <c r="AX119">
        <v>44580395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Y119*Source!I96</f>
        <v>0.405</v>
      </c>
      <c r="CY119">
        <f>AB119</f>
        <v>10.34</v>
      </c>
      <c r="CZ119">
        <f>AF119</f>
        <v>1.34</v>
      </c>
      <c r="DA119">
        <f>AJ119</f>
        <v>7.72</v>
      </c>
      <c r="DB119">
        <f>ROUND((ROUND(AT119*CZ119,2)*ROUND(1.35,7)),2)</f>
        <v>0.18</v>
      </c>
      <c r="DC119">
        <f>ROUND((ROUND(AT119*AG119,2)*ROUND(1.35,7)),2)</f>
        <v>0</v>
      </c>
    </row>
    <row r="120" spans="1:107" ht="12.75">
      <c r="A120">
        <f>ROW(Source!A96)</f>
        <v>96</v>
      </c>
      <c r="B120">
        <v>44571020</v>
      </c>
      <c r="C120">
        <v>44580391</v>
      </c>
      <c r="D120">
        <v>13907362</v>
      </c>
      <c r="E120">
        <v>1</v>
      </c>
      <c r="F120">
        <v>1</v>
      </c>
      <c r="G120">
        <v>1</v>
      </c>
      <c r="H120">
        <v>3</v>
      </c>
      <c r="I120" t="s">
        <v>563</v>
      </c>
      <c r="J120" t="s">
        <v>564</v>
      </c>
      <c r="K120" t="s">
        <v>565</v>
      </c>
      <c r="L120">
        <v>1346</v>
      </c>
      <c r="N120">
        <v>1009</v>
      </c>
      <c r="O120" t="s">
        <v>222</v>
      </c>
      <c r="P120" t="s">
        <v>222</v>
      </c>
      <c r="Q120">
        <v>1</v>
      </c>
      <c r="W120">
        <v>0</v>
      </c>
      <c r="X120">
        <v>2088955205</v>
      </c>
      <c r="Y120">
        <v>0.008</v>
      </c>
      <c r="AA120">
        <v>185.04</v>
      </c>
      <c r="AB120">
        <v>0</v>
      </c>
      <c r="AC120">
        <v>0</v>
      </c>
      <c r="AD120">
        <v>0</v>
      </c>
      <c r="AE120">
        <v>35.93</v>
      </c>
      <c r="AF120">
        <v>0</v>
      </c>
      <c r="AG120">
        <v>0</v>
      </c>
      <c r="AH120">
        <v>0</v>
      </c>
      <c r="AI120">
        <v>5.15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0.008</v>
      </c>
      <c r="AV120">
        <v>0</v>
      </c>
      <c r="AW120">
        <v>2</v>
      </c>
      <c r="AX120">
        <v>44580396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Y120*Source!I96</f>
        <v>0.024</v>
      </c>
      <c r="CY120">
        <f aca="true" t="shared" si="20" ref="CY120:CY126">AA120</f>
        <v>185.04</v>
      </c>
      <c r="CZ120">
        <f aca="true" t="shared" si="21" ref="CZ120:CZ126">AE120</f>
        <v>35.93</v>
      </c>
      <c r="DA120">
        <f aca="true" t="shared" si="22" ref="DA120:DA126">AI120</f>
        <v>5.15</v>
      </c>
      <c r="DB120">
        <f aca="true" t="shared" si="23" ref="DB120:DB134">ROUND(ROUND(AT120*CZ120,2),2)</f>
        <v>0.29</v>
      </c>
      <c r="DC120">
        <f aca="true" t="shared" si="24" ref="DC120:DC134">ROUND(ROUND(AT120*AG120,2),2)</f>
        <v>0</v>
      </c>
    </row>
    <row r="121" spans="1:107" ht="12.75">
      <c r="A121">
        <f>ROW(Source!A96)</f>
        <v>96</v>
      </c>
      <c r="B121">
        <v>44571020</v>
      </c>
      <c r="C121">
        <v>44580391</v>
      </c>
      <c r="D121">
        <v>13907682</v>
      </c>
      <c r="E121">
        <v>1</v>
      </c>
      <c r="F121">
        <v>1</v>
      </c>
      <c r="G121">
        <v>1</v>
      </c>
      <c r="H121">
        <v>3</v>
      </c>
      <c r="I121" t="s">
        <v>566</v>
      </c>
      <c r="J121" t="s">
        <v>567</v>
      </c>
      <c r="K121" t="s">
        <v>568</v>
      </c>
      <c r="L121">
        <v>1346</v>
      </c>
      <c r="N121">
        <v>1009</v>
      </c>
      <c r="O121" t="s">
        <v>222</v>
      </c>
      <c r="P121" t="s">
        <v>222</v>
      </c>
      <c r="Q121">
        <v>1</v>
      </c>
      <c r="W121">
        <v>0</v>
      </c>
      <c r="X121">
        <v>-554374084</v>
      </c>
      <c r="Y121">
        <v>0.002</v>
      </c>
      <c r="AA121">
        <v>91.05</v>
      </c>
      <c r="AB121">
        <v>0</v>
      </c>
      <c r="AC121">
        <v>0</v>
      </c>
      <c r="AD121">
        <v>0</v>
      </c>
      <c r="AE121">
        <v>17.68</v>
      </c>
      <c r="AF121">
        <v>0</v>
      </c>
      <c r="AG121">
        <v>0</v>
      </c>
      <c r="AH121">
        <v>0</v>
      </c>
      <c r="AI121">
        <v>5.15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0.002</v>
      </c>
      <c r="AV121">
        <v>0</v>
      </c>
      <c r="AW121">
        <v>2</v>
      </c>
      <c r="AX121">
        <v>44580397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Y121*Source!I96</f>
        <v>0.006</v>
      </c>
      <c r="CY121">
        <f t="shared" si="20"/>
        <v>91.05</v>
      </c>
      <c r="CZ121">
        <f t="shared" si="21"/>
        <v>17.68</v>
      </c>
      <c r="DA121">
        <f t="shared" si="22"/>
        <v>5.15</v>
      </c>
      <c r="DB121">
        <f t="shared" si="23"/>
        <v>0.04</v>
      </c>
      <c r="DC121">
        <f t="shared" si="24"/>
        <v>0</v>
      </c>
    </row>
    <row r="122" spans="1:107" ht="12.75">
      <c r="A122">
        <f>ROW(Source!A96)</f>
        <v>96</v>
      </c>
      <c r="B122">
        <v>44571020</v>
      </c>
      <c r="C122">
        <v>44580391</v>
      </c>
      <c r="D122">
        <v>13907695</v>
      </c>
      <c r="E122">
        <v>1</v>
      </c>
      <c r="F122">
        <v>1</v>
      </c>
      <c r="G122">
        <v>1</v>
      </c>
      <c r="H122">
        <v>3</v>
      </c>
      <c r="I122" t="s">
        <v>569</v>
      </c>
      <c r="J122" t="s">
        <v>570</v>
      </c>
      <c r="K122" t="s">
        <v>571</v>
      </c>
      <c r="L122">
        <v>1346</v>
      </c>
      <c r="N122">
        <v>1009</v>
      </c>
      <c r="O122" t="s">
        <v>222</v>
      </c>
      <c r="P122" t="s">
        <v>222</v>
      </c>
      <c r="Q122">
        <v>1</v>
      </c>
      <c r="W122">
        <v>0</v>
      </c>
      <c r="X122">
        <v>-1111495648</v>
      </c>
      <c r="Y122">
        <v>0.208</v>
      </c>
      <c r="AA122">
        <v>45.53</v>
      </c>
      <c r="AB122">
        <v>0</v>
      </c>
      <c r="AC122">
        <v>0</v>
      </c>
      <c r="AD122">
        <v>0</v>
      </c>
      <c r="AE122">
        <v>8.84</v>
      </c>
      <c r="AF122">
        <v>0</v>
      </c>
      <c r="AG122">
        <v>0</v>
      </c>
      <c r="AH122">
        <v>0</v>
      </c>
      <c r="AI122">
        <v>5.15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0.208</v>
      </c>
      <c r="AV122">
        <v>0</v>
      </c>
      <c r="AW122">
        <v>2</v>
      </c>
      <c r="AX122">
        <v>44580398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Y122*Source!I96</f>
        <v>0.624</v>
      </c>
      <c r="CY122">
        <f t="shared" si="20"/>
        <v>45.53</v>
      </c>
      <c r="CZ122">
        <f t="shared" si="21"/>
        <v>8.84</v>
      </c>
      <c r="DA122">
        <f t="shared" si="22"/>
        <v>5.15</v>
      </c>
      <c r="DB122">
        <f t="shared" si="23"/>
        <v>1.84</v>
      </c>
      <c r="DC122">
        <f t="shared" si="24"/>
        <v>0</v>
      </c>
    </row>
    <row r="123" spans="1:107" ht="12.75">
      <c r="A123">
        <f>ROW(Source!A96)</f>
        <v>96</v>
      </c>
      <c r="B123">
        <v>44571020</v>
      </c>
      <c r="C123">
        <v>44580391</v>
      </c>
      <c r="D123">
        <v>13908185</v>
      </c>
      <c r="E123">
        <v>1</v>
      </c>
      <c r="F123">
        <v>1</v>
      </c>
      <c r="G123">
        <v>1</v>
      </c>
      <c r="H123">
        <v>3</v>
      </c>
      <c r="I123" t="s">
        <v>572</v>
      </c>
      <c r="J123" t="s">
        <v>573</v>
      </c>
      <c r="K123" t="s">
        <v>574</v>
      </c>
      <c r="L123">
        <v>1346</v>
      </c>
      <c r="N123">
        <v>1009</v>
      </c>
      <c r="O123" t="s">
        <v>222</v>
      </c>
      <c r="P123" t="s">
        <v>222</v>
      </c>
      <c r="Q123">
        <v>1</v>
      </c>
      <c r="W123">
        <v>0</v>
      </c>
      <c r="X123">
        <v>153840935</v>
      </c>
      <c r="Y123">
        <v>0.001</v>
      </c>
      <c r="AA123">
        <v>818.18</v>
      </c>
      <c r="AB123">
        <v>0</v>
      </c>
      <c r="AC123">
        <v>0</v>
      </c>
      <c r="AD123">
        <v>0</v>
      </c>
      <c r="AE123">
        <v>158.87</v>
      </c>
      <c r="AF123">
        <v>0</v>
      </c>
      <c r="AG123">
        <v>0</v>
      </c>
      <c r="AH123">
        <v>0</v>
      </c>
      <c r="AI123">
        <v>5.15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0.001</v>
      </c>
      <c r="AV123">
        <v>0</v>
      </c>
      <c r="AW123">
        <v>2</v>
      </c>
      <c r="AX123">
        <v>44580399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Y123*Source!I96</f>
        <v>0.003</v>
      </c>
      <c r="CY123">
        <f t="shared" si="20"/>
        <v>818.18</v>
      </c>
      <c r="CZ123">
        <f t="shared" si="21"/>
        <v>158.87</v>
      </c>
      <c r="DA123">
        <f t="shared" si="22"/>
        <v>5.15</v>
      </c>
      <c r="DB123">
        <f t="shared" si="23"/>
        <v>0.16</v>
      </c>
      <c r="DC123">
        <f t="shared" si="24"/>
        <v>0</v>
      </c>
    </row>
    <row r="124" spans="1:107" ht="12.75">
      <c r="A124">
        <f>ROW(Source!A96)</f>
        <v>96</v>
      </c>
      <c r="B124">
        <v>44571020</v>
      </c>
      <c r="C124">
        <v>44580391</v>
      </c>
      <c r="D124">
        <v>13908368</v>
      </c>
      <c r="E124">
        <v>1</v>
      </c>
      <c r="F124">
        <v>1</v>
      </c>
      <c r="G124">
        <v>1</v>
      </c>
      <c r="H124">
        <v>3</v>
      </c>
      <c r="I124" t="s">
        <v>575</v>
      </c>
      <c r="J124" t="s">
        <v>576</v>
      </c>
      <c r="K124" t="s">
        <v>577</v>
      </c>
      <c r="L124">
        <v>1346</v>
      </c>
      <c r="N124">
        <v>1009</v>
      </c>
      <c r="O124" t="s">
        <v>222</v>
      </c>
      <c r="P124" t="s">
        <v>222</v>
      </c>
      <c r="Q124">
        <v>1</v>
      </c>
      <c r="W124">
        <v>0</v>
      </c>
      <c r="X124">
        <v>460608579</v>
      </c>
      <c r="Y124">
        <v>0.02</v>
      </c>
      <c r="AA124">
        <v>186.89</v>
      </c>
      <c r="AB124">
        <v>0</v>
      </c>
      <c r="AC124">
        <v>0</v>
      </c>
      <c r="AD124">
        <v>0</v>
      </c>
      <c r="AE124">
        <v>36.29</v>
      </c>
      <c r="AF124">
        <v>0</v>
      </c>
      <c r="AG124">
        <v>0</v>
      </c>
      <c r="AH124">
        <v>0</v>
      </c>
      <c r="AI124">
        <v>5.15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0.02</v>
      </c>
      <c r="AV124">
        <v>0</v>
      </c>
      <c r="AW124">
        <v>2</v>
      </c>
      <c r="AX124">
        <v>44580400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Y124*Source!I96</f>
        <v>0.06</v>
      </c>
      <c r="CY124">
        <f t="shared" si="20"/>
        <v>186.89</v>
      </c>
      <c r="CZ124">
        <f t="shared" si="21"/>
        <v>36.29</v>
      </c>
      <c r="DA124">
        <f t="shared" si="22"/>
        <v>5.15</v>
      </c>
      <c r="DB124">
        <f t="shared" si="23"/>
        <v>0.73</v>
      </c>
      <c r="DC124">
        <f t="shared" si="24"/>
        <v>0</v>
      </c>
    </row>
    <row r="125" spans="1:107" ht="12.75">
      <c r="A125">
        <f>ROW(Source!A96)</f>
        <v>96</v>
      </c>
      <c r="B125">
        <v>44571020</v>
      </c>
      <c r="C125">
        <v>44580391</v>
      </c>
      <c r="D125">
        <v>14010602</v>
      </c>
      <c r="E125">
        <v>1</v>
      </c>
      <c r="F125">
        <v>1</v>
      </c>
      <c r="G125">
        <v>1</v>
      </c>
      <c r="H125">
        <v>3</v>
      </c>
      <c r="I125" t="s">
        <v>578</v>
      </c>
      <c r="J125" t="s">
        <v>579</v>
      </c>
      <c r="K125" t="s">
        <v>580</v>
      </c>
      <c r="L125">
        <v>1346</v>
      </c>
      <c r="N125">
        <v>1009</v>
      </c>
      <c r="O125" t="s">
        <v>222</v>
      </c>
      <c r="P125" t="s">
        <v>222</v>
      </c>
      <c r="Q125">
        <v>1</v>
      </c>
      <c r="W125">
        <v>0</v>
      </c>
      <c r="X125">
        <v>1969673821</v>
      </c>
      <c r="Y125">
        <v>0.005</v>
      </c>
      <c r="AA125">
        <v>276.56</v>
      </c>
      <c r="AB125">
        <v>0</v>
      </c>
      <c r="AC125">
        <v>0</v>
      </c>
      <c r="AD125">
        <v>0</v>
      </c>
      <c r="AE125">
        <v>53.7</v>
      </c>
      <c r="AF125">
        <v>0</v>
      </c>
      <c r="AG125">
        <v>0</v>
      </c>
      <c r="AH125">
        <v>0</v>
      </c>
      <c r="AI125">
        <v>5.15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0.005</v>
      </c>
      <c r="AV125">
        <v>0</v>
      </c>
      <c r="AW125">
        <v>2</v>
      </c>
      <c r="AX125">
        <v>44580401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Y125*Source!I96</f>
        <v>0.015</v>
      </c>
      <c r="CY125">
        <f t="shared" si="20"/>
        <v>276.56</v>
      </c>
      <c r="CZ125">
        <f t="shared" si="21"/>
        <v>53.7</v>
      </c>
      <c r="DA125">
        <f t="shared" si="22"/>
        <v>5.15</v>
      </c>
      <c r="DB125">
        <f t="shared" si="23"/>
        <v>0.27</v>
      </c>
      <c r="DC125">
        <f t="shared" si="24"/>
        <v>0</v>
      </c>
    </row>
    <row r="126" spans="1:107" ht="12.75">
      <c r="A126">
        <f>ROW(Source!A96)</f>
        <v>96</v>
      </c>
      <c r="B126">
        <v>44571020</v>
      </c>
      <c r="C126">
        <v>44580391</v>
      </c>
      <c r="D126">
        <v>14105700</v>
      </c>
      <c r="E126">
        <v>1</v>
      </c>
      <c r="F126">
        <v>1</v>
      </c>
      <c r="G126">
        <v>1</v>
      </c>
      <c r="H126">
        <v>3</v>
      </c>
      <c r="I126" t="s">
        <v>502</v>
      </c>
      <c r="J126" t="s">
        <v>503</v>
      </c>
      <c r="K126" t="s">
        <v>504</v>
      </c>
      <c r="L126">
        <v>1374</v>
      </c>
      <c r="N126">
        <v>1013</v>
      </c>
      <c r="O126" t="s">
        <v>505</v>
      </c>
      <c r="P126" t="s">
        <v>505</v>
      </c>
      <c r="Q126">
        <v>1</v>
      </c>
      <c r="W126">
        <v>0</v>
      </c>
      <c r="X126">
        <v>1723657366</v>
      </c>
      <c r="Y126">
        <v>0.26</v>
      </c>
      <c r="AA126">
        <v>5.15</v>
      </c>
      <c r="AB126">
        <v>0</v>
      </c>
      <c r="AC126">
        <v>0</v>
      </c>
      <c r="AD126">
        <v>0</v>
      </c>
      <c r="AE126">
        <v>1</v>
      </c>
      <c r="AF126">
        <v>0</v>
      </c>
      <c r="AG126">
        <v>0</v>
      </c>
      <c r="AH126">
        <v>0</v>
      </c>
      <c r="AI126">
        <v>5.15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0.26</v>
      </c>
      <c r="AV126">
        <v>0</v>
      </c>
      <c r="AW126">
        <v>2</v>
      </c>
      <c r="AX126">
        <v>44580402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Y126*Source!I96</f>
        <v>0.78</v>
      </c>
      <c r="CY126">
        <f t="shared" si="20"/>
        <v>5.15</v>
      </c>
      <c r="CZ126">
        <f t="shared" si="21"/>
        <v>1</v>
      </c>
      <c r="DA126">
        <f t="shared" si="22"/>
        <v>5.15</v>
      </c>
      <c r="DB126">
        <f t="shared" si="23"/>
        <v>0.26</v>
      </c>
      <c r="DC126">
        <f t="shared" si="24"/>
        <v>0</v>
      </c>
    </row>
    <row r="127" spans="1:107" ht="12.75">
      <c r="A127">
        <f>ROW(Source!A141)</f>
        <v>141</v>
      </c>
      <c r="B127">
        <v>44571020</v>
      </c>
      <c r="C127">
        <v>44572301</v>
      </c>
      <c r="D127">
        <v>9915216</v>
      </c>
      <c r="E127">
        <v>1</v>
      </c>
      <c r="F127">
        <v>1</v>
      </c>
      <c r="G127">
        <v>1</v>
      </c>
      <c r="H127">
        <v>1</v>
      </c>
      <c r="I127" t="s">
        <v>581</v>
      </c>
      <c r="K127" t="s">
        <v>582</v>
      </c>
      <c r="L127">
        <v>1191</v>
      </c>
      <c r="N127">
        <v>1013</v>
      </c>
      <c r="O127" t="s">
        <v>445</v>
      </c>
      <c r="P127" t="s">
        <v>445</v>
      </c>
      <c r="Q127">
        <v>1</v>
      </c>
      <c r="W127">
        <v>0</v>
      </c>
      <c r="X127">
        <v>2090797448</v>
      </c>
      <c r="Y127">
        <v>9.97</v>
      </c>
      <c r="AA127">
        <v>0</v>
      </c>
      <c r="AB127">
        <v>0</v>
      </c>
      <c r="AC127">
        <v>0</v>
      </c>
      <c r="AD127">
        <v>291.33</v>
      </c>
      <c r="AE127">
        <v>0</v>
      </c>
      <c r="AF127">
        <v>0</v>
      </c>
      <c r="AG127">
        <v>0</v>
      </c>
      <c r="AH127">
        <v>10.07</v>
      </c>
      <c r="AI127">
        <v>1</v>
      </c>
      <c r="AJ127">
        <v>1</v>
      </c>
      <c r="AK127">
        <v>1</v>
      </c>
      <c r="AL127">
        <v>28.93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9.97</v>
      </c>
      <c r="AV127">
        <v>1</v>
      </c>
      <c r="AW127">
        <v>2</v>
      </c>
      <c r="AX127">
        <v>44572310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Y127*Source!I141</f>
        <v>7.377800000000001</v>
      </c>
      <c r="CY127">
        <f>AD127</f>
        <v>291.33</v>
      </c>
      <c r="CZ127">
        <f>AH127</f>
        <v>10.07</v>
      </c>
      <c r="DA127">
        <f>AL127</f>
        <v>28.93</v>
      </c>
      <c r="DB127">
        <f t="shared" si="23"/>
        <v>100.4</v>
      </c>
      <c r="DC127">
        <f t="shared" si="24"/>
        <v>0</v>
      </c>
    </row>
    <row r="128" spans="1:107" ht="12.75">
      <c r="A128">
        <f>ROW(Source!A141)</f>
        <v>141</v>
      </c>
      <c r="B128">
        <v>44571020</v>
      </c>
      <c r="C128">
        <v>44572301</v>
      </c>
      <c r="D128">
        <v>121548</v>
      </c>
      <c r="E128">
        <v>1</v>
      </c>
      <c r="F128">
        <v>1</v>
      </c>
      <c r="G128">
        <v>1</v>
      </c>
      <c r="H128">
        <v>1</v>
      </c>
      <c r="I128" t="s">
        <v>28</v>
      </c>
      <c r="K128" t="s">
        <v>446</v>
      </c>
      <c r="L128">
        <v>608254</v>
      </c>
      <c r="N128">
        <v>1013</v>
      </c>
      <c r="O128" t="s">
        <v>447</v>
      </c>
      <c r="P128" t="s">
        <v>447</v>
      </c>
      <c r="Q128">
        <v>1</v>
      </c>
      <c r="W128">
        <v>0</v>
      </c>
      <c r="X128">
        <v>-185737400</v>
      </c>
      <c r="Y128">
        <v>10.01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28.93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10.01</v>
      </c>
      <c r="AV128">
        <v>2</v>
      </c>
      <c r="AW128">
        <v>2</v>
      </c>
      <c r="AX128">
        <v>44572311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Y128*Source!I141</f>
        <v>7.4074</v>
      </c>
      <c r="CY128">
        <f>AD128</f>
        <v>0</v>
      </c>
      <c r="CZ128">
        <f>AH128</f>
        <v>0</v>
      </c>
      <c r="DA128">
        <f>AL128</f>
        <v>1</v>
      </c>
      <c r="DB128">
        <f t="shared" si="23"/>
        <v>0</v>
      </c>
      <c r="DC128">
        <f t="shared" si="24"/>
        <v>0</v>
      </c>
    </row>
    <row r="129" spans="1:107" ht="12.75">
      <c r="A129">
        <f>ROW(Source!A141)</f>
        <v>141</v>
      </c>
      <c r="B129">
        <v>44571020</v>
      </c>
      <c r="C129">
        <v>44572301</v>
      </c>
      <c r="D129">
        <v>13901801</v>
      </c>
      <c r="E129">
        <v>1</v>
      </c>
      <c r="F129">
        <v>1</v>
      </c>
      <c r="G129">
        <v>1</v>
      </c>
      <c r="H129">
        <v>2</v>
      </c>
      <c r="I129" t="s">
        <v>583</v>
      </c>
      <c r="J129" t="s">
        <v>584</v>
      </c>
      <c r="K129" t="s">
        <v>585</v>
      </c>
      <c r="L129">
        <v>1368</v>
      </c>
      <c r="N129">
        <v>1011</v>
      </c>
      <c r="O129" t="s">
        <v>453</v>
      </c>
      <c r="P129" t="s">
        <v>453</v>
      </c>
      <c r="Q129">
        <v>1</v>
      </c>
      <c r="W129">
        <v>0</v>
      </c>
      <c r="X129">
        <v>-1587458223</v>
      </c>
      <c r="Y129">
        <v>1.42</v>
      </c>
      <c r="AA129">
        <v>0</v>
      </c>
      <c r="AB129">
        <v>1001.59</v>
      </c>
      <c r="AC129">
        <v>379.56</v>
      </c>
      <c r="AD129">
        <v>0</v>
      </c>
      <c r="AE129">
        <v>0</v>
      </c>
      <c r="AF129">
        <v>129.74</v>
      </c>
      <c r="AG129">
        <v>13.12</v>
      </c>
      <c r="AH129">
        <v>0</v>
      </c>
      <c r="AI129">
        <v>1</v>
      </c>
      <c r="AJ129">
        <v>7.72</v>
      </c>
      <c r="AK129">
        <v>28.93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1.42</v>
      </c>
      <c r="AV129">
        <v>0</v>
      </c>
      <c r="AW129">
        <v>2</v>
      </c>
      <c r="AX129">
        <v>44572312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Y129*Source!I141</f>
        <v>1.0508</v>
      </c>
      <c r="CY129">
        <f>AB129</f>
        <v>1001.59</v>
      </c>
      <c r="CZ129">
        <f>AF129</f>
        <v>129.74</v>
      </c>
      <c r="DA129">
        <f>AJ129</f>
        <v>7.72</v>
      </c>
      <c r="DB129">
        <f t="shared" si="23"/>
        <v>184.23</v>
      </c>
      <c r="DC129">
        <f t="shared" si="24"/>
        <v>18.63</v>
      </c>
    </row>
    <row r="130" spans="1:107" ht="12.75">
      <c r="A130">
        <f>ROW(Source!A141)</f>
        <v>141</v>
      </c>
      <c r="B130">
        <v>44571020</v>
      </c>
      <c r="C130">
        <v>44572301</v>
      </c>
      <c r="D130">
        <v>13902027</v>
      </c>
      <c r="E130">
        <v>1</v>
      </c>
      <c r="F130">
        <v>1</v>
      </c>
      <c r="G130">
        <v>1</v>
      </c>
      <c r="H130">
        <v>2</v>
      </c>
      <c r="I130" t="s">
        <v>586</v>
      </c>
      <c r="J130" t="s">
        <v>587</v>
      </c>
      <c r="K130" t="s">
        <v>588</v>
      </c>
      <c r="L130">
        <v>1368</v>
      </c>
      <c r="N130">
        <v>1011</v>
      </c>
      <c r="O130" t="s">
        <v>453</v>
      </c>
      <c r="P130" t="s">
        <v>453</v>
      </c>
      <c r="Q130">
        <v>1</v>
      </c>
      <c r="W130">
        <v>0</v>
      </c>
      <c r="X130">
        <v>-982097504</v>
      </c>
      <c r="Y130">
        <v>0.63</v>
      </c>
      <c r="AA130">
        <v>0</v>
      </c>
      <c r="AB130">
        <v>5.4</v>
      </c>
      <c r="AC130">
        <v>0</v>
      </c>
      <c r="AD130">
        <v>0</v>
      </c>
      <c r="AE130">
        <v>0</v>
      </c>
      <c r="AF130">
        <v>0.7</v>
      </c>
      <c r="AG130">
        <v>0</v>
      </c>
      <c r="AH130">
        <v>0</v>
      </c>
      <c r="AI130">
        <v>1</v>
      </c>
      <c r="AJ130">
        <v>7.72</v>
      </c>
      <c r="AK130">
        <v>28.93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0.63</v>
      </c>
      <c r="AV130">
        <v>0</v>
      </c>
      <c r="AW130">
        <v>2</v>
      </c>
      <c r="AX130">
        <v>44572313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Y130*Source!I141</f>
        <v>0.4662</v>
      </c>
      <c r="CY130">
        <f>AB130</f>
        <v>5.4</v>
      </c>
      <c r="CZ130">
        <f>AF130</f>
        <v>0.7</v>
      </c>
      <c r="DA130">
        <f>AJ130</f>
        <v>7.72</v>
      </c>
      <c r="DB130">
        <f t="shared" si="23"/>
        <v>0.44</v>
      </c>
      <c r="DC130">
        <f t="shared" si="24"/>
        <v>0</v>
      </c>
    </row>
    <row r="131" spans="1:107" ht="12.75">
      <c r="A131">
        <f>ROW(Source!A141)</f>
        <v>141</v>
      </c>
      <c r="B131">
        <v>44571020</v>
      </c>
      <c r="C131">
        <v>44572301</v>
      </c>
      <c r="D131">
        <v>13902030</v>
      </c>
      <c r="E131">
        <v>1</v>
      </c>
      <c r="F131">
        <v>1</v>
      </c>
      <c r="G131">
        <v>1</v>
      </c>
      <c r="H131">
        <v>2</v>
      </c>
      <c r="I131" t="s">
        <v>473</v>
      </c>
      <c r="J131" t="s">
        <v>474</v>
      </c>
      <c r="K131" t="s">
        <v>475</v>
      </c>
      <c r="L131">
        <v>1368</v>
      </c>
      <c r="N131">
        <v>1011</v>
      </c>
      <c r="O131" t="s">
        <v>453</v>
      </c>
      <c r="P131" t="s">
        <v>453</v>
      </c>
      <c r="Q131">
        <v>1</v>
      </c>
      <c r="W131">
        <v>0</v>
      </c>
      <c r="X131">
        <v>1515030893</v>
      </c>
      <c r="Y131">
        <v>0.5</v>
      </c>
      <c r="AA131">
        <v>0</v>
      </c>
      <c r="AB131">
        <v>236.93</v>
      </c>
      <c r="AC131">
        <v>326.33</v>
      </c>
      <c r="AD131">
        <v>0</v>
      </c>
      <c r="AE131">
        <v>0</v>
      </c>
      <c r="AF131">
        <v>30.69</v>
      </c>
      <c r="AG131">
        <v>11.28</v>
      </c>
      <c r="AH131">
        <v>0</v>
      </c>
      <c r="AI131">
        <v>1</v>
      </c>
      <c r="AJ131">
        <v>7.72</v>
      </c>
      <c r="AK131">
        <v>28.93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0.5</v>
      </c>
      <c r="AV131">
        <v>0</v>
      </c>
      <c r="AW131">
        <v>2</v>
      </c>
      <c r="AX131">
        <v>44572314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Y131*Source!I141</f>
        <v>0.37</v>
      </c>
      <c r="CY131">
        <f>AB131</f>
        <v>236.93</v>
      </c>
      <c r="CZ131">
        <f>AF131</f>
        <v>30.69</v>
      </c>
      <c r="DA131">
        <f>AJ131</f>
        <v>7.72</v>
      </c>
      <c r="DB131">
        <f t="shared" si="23"/>
        <v>15.35</v>
      </c>
      <c r="DC131">
        <f t="shared" si="24"/>
        <v>5.64</v>
      </c>
    </row>
    <row r="132" spans="1:107" ht="12.75">
      <c r="A132">
        <f>ROW(Source!A141)</f>
        <v>141</v>
      </c>
      <c r="B132">
        <v>44571020</v>
      </c>
      <c r="C132">
        <v>44572301</v>
      </c>
      <c r="D132">
        <v>13902589</v>
      </c>
      <c r="E132">
        <v>1</v>
      </c>
      <c r="F132">
        <v>1</v>
      </c>
      <c r="G132">
        <v>1</v>
      </c>
      <c r="H132">
        <v>2</v>
      </c>
      <c r="I132" t="s">
        <v>589</v>
      </c>
      <c r="J132" t="s">
        <v>590</v>
      </c>
      <c r="K132" t="s">
        <v>591</v>
      </c>
      <c r="L132">
        <v>1368</v>
      </c>
      <c r="N132">
        <v>1011</v>
      </c>
      <c r="O132" t="s">
        <v>453</v>
      </c>
      <c r="P132" t="s">
        <v>453</v>
      </c>
      <c r="Q132">
        <v>1</v>
      </c>
      <c r="W132">
        <v>0</v>
      </c>
      <c r="X132">
        <v>-249495239</v>
      </c>
      <c r="Y132">
        <v>0.59</v>
      </c>
      <c r="AA132">
        <v>0</v>
      </c>
      <c r="AB132">
        <v>1040.58</v>
      </c>
      <c r="AC132">
        <v>326.33</v>
      </c>
      <c r="AD132">
        <v>0</v>
      </c>
      <c r="AE132">
        <v>0</v>
      </c>
      <c r="AF132">
        <v>134.79</v>
      </c>
      <c r="AG132">
        <v>11.28</v>
      </c>
      <c r="AH132">
        <v>0</v>
      </c>
      <c r="AI132">
        <v>1</v>
      </c>
      <c r="AJ132">
        <v>7.72</v>
      </c>
      <c r="AK132">
        <v>28.93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0.59</v>
      </c>
      <c r="AV132">
        <v>0</v>
      </c>
      <c r="AW132">
        <v>2</v>
      </c>
      <c r="AX132">
        <v>44572315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Y132*Source!I141</f>
        <v>0.4366</v>
      </c>
      <c r="CY132">
        <f>AB132</f>
        <v>1040.58</v>
      </c>
      <c r="CZ132">
        <f>AF132</f>
        <v>134.79</v>
      </c>
      <c r="DA132">
        <f>AJ132</f>
        <v>7.72</v>
      </c>
      <c r="DB132">
        <f t="shared" si="23"/>
        <v>79.53</v>
      </c>
      <c r="DC132">
        <f t="shared" si="24"/>
        <v>6.66</v>
      </c>
    </row>
    <row r="133" spans="1:107" ht="12.75">
      <c r="A133">
        <f>ROW(Source!A141)</f>
        <v>141</v>
      </c>
      <c r="B133">
        <v>44571020</v>
      </c>
      <c r="C133">
        <v>44572301</v>
      </c>
      <c r="D133">
        <v>13903509</v>
      </c>
      <c r="E133">
        <v>1</v>
      </c>
      <c r="F133">
        <v>1</v>
      </c>
      <c r="G133">
        <v>1</v>
      </c>
      <c r="H133">
        <v>2</v>
      </c>
      <c r="I133" t="s">
        <v>592</v>
      </c>
      <c r="J133" t="s">
        <v>593</v>
      </c>
      <c r="K133" t="s">
        <v>594</v>
      </c>
      <c r="L133">
        <v>1368</v>
      </c>
      <c r="N133">
        <v>1011</v>
      </c>
      <c r="O133" t="s">
        <v>453</v>
      </c>
      <c r="P133" t="s">
        <v>453</v>
      </c>
      <c r="Q133">
        <v>1</v>
      </c>
      <c r="W133">
        <v>0</v>
      </c>
      <c r="X133">
        <v>620179637</v>
      </c>
      <c r="Y133">
        <v>7.5</v>
      </c>
      <c r="AA133">
        <v>0</v>
      </c>
      <c r="AB133">
        <v>12792.04</v>
      </c>
      <c r="AC133">
        <v>433.66</v>
      </c>
      <c r="AD133">
        <v>0</v>
      </c>
      <c r="AE133">
        <v>0</v>
      </c>
      <c r="AF133">
        <v>1657</v>
      </c>
      <c r="AG133">
        <v>14.99</v>
      </c>
      <c r="AH133">
        <v>0</v>
      </c>
      <c r="AI133">
        <v>1</v>
      </c>
      <c r="AJ133">
        <v>7.72</v>
      </c>
      <c r="AK133">
        <v>28.93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7.5</v>
      </c>
      <c r="AV133">
        <v>0</v>
      </c>
      <c r="AW133">
        <v>2</v>
      </c>
      <c r="AX133">
        <v>44572316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Y133*Source!I141</f>
        <v>5.55</v>
      </c>
      <c r="CY133">
        <f>AB133</f>
        <v>12792.04</v>
      </c>
      <c r="CZ133">
        <f>AF133</f>
        <v>1657</v>
      </c>
      <c r="DA133">
        <f>AJ133</f>
        <v>7.72</v>
      </c>
      <c r="DB133">
        <f t="shared" si="23"/>
        <v>12427.5</v>
      </c>
      <c r="DC133">
        <f t="shared" si="24"/>
        <v>112.43</v>
      </c>
    </row>
    <row r="134" spans="1:107" ht="12.75">
      <c r="A134">
        <f>ROW(Source!A141)</f>
        <v>141</v>
      </c>
      <c r="B134">
        <v>44571020</v>
      </c>
      <c r="C134">
        <v>44572301</v>
      </c>
      <c r="D134">
        <v>13985061</v>
      </c>
      <c r="E134">
        <v>1</v>
      </c>
      <c r="F134">
        <v>1</v>
      </c>
      <c r="G134">
        <v>1</v>
      </c>
      <c r="H134">
        <v>3</v>
      </c>
      <c r="I134" t="s">
        <v>489</v>
      </c>
      <c r="J134" t="s">
        <v>490</v>
      </c>
      <c r="K134" t="s">
        <v>491</v>
      </c>
      <c r="L134">
        <v>1339</v>
      </c>
      <c r="N134">
        <v>1007</v>
      </c>
      <c r="O134" t="s">
        <v>283</v>
      </c>
      <c r="P134" t="s">
        <v>283</v>
      </c>
      <c r="Q134">
        <v>1</v>
      </c>
      <c r="W134">
        <v>0</v>
      </c>
      <c r="X134">
        <v>-129011492</v>
      </c>
      <c r="Y134">
        <v>1.53</v>
      </c>
      <c r="AA134">
        <v>32.45</v>
      </c>
      <c r="AB134">
        <v>0</v>
      </c>
      <c r="AC134">
        <v>0</v>
      </c>
      <c r="AD134">
        <v>0</v>
      </c>
      <c r="AE134">
        <v>6.3</v>
      </c>
      <c r="AF134">
        <v>0</v>
      </c>
      <c r="AG134">
        <v>0</v>
      </c>
      <c r="AH134">
        <v>0</v>
      </c>
      <c r="AI134">
        <v>5.15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1.53</v>
      </c>
      <c r="AV134">
        <v>0</v>
      </c>
      <c r="AW134">
        <v>2</v>
      </c>
      <c r="AX134">
        <v>44572319</v>
      </c>
      <c r="AY134">
        <v>1</v>
      </c>
      <c r="AZ134">
        <v>0</v>
      </c>
      <c r="BA134">
        <v>136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Y134*Source!I141</f>
        <v>1.1322</v>
      </c>
      <c r="CY134">
        <f>AA134</f>
        <v>32.45</v>
      </c>
      <c r="CZ134">
        <f>AE134</f>
        <v>6.3</v>
      </c>
      <c r="DA134">
        <f>AI134</f>
        <v>5.15</v>
      </c>
      <c r="DB134">
        <f t="shared" si="23"/>
        <v>9.64</v>
      </c>
      <c r="DC134">
        <f t="shared" si="24"/>
        <v>0</v>
      </c>
    </row>
    <row r="135" spans="1:107" ht="12.75">
      <c r="A135">
        <f>ROW(Source!A142)</f>
        <v>142</v>
      </c>
      <c r="B135">
        <v>44571020</v>
      </c>
      <c r="C135">
        <v>44572320</v>
      </c>
      <c r="D135">
        <v>9914991</v>
      </c>
      <c r="E135">
        <v>1</v>
      </c>
      <c r="F135">
        <v>1</v>
      </c>
      <c r="G135">
        <v>1</v>
      </c>
      <c r="H135">
        <v>1</v>
      </c>
      <c r="I135" t="s">
        <v>595</v>
      </c>
      <c r="K135" t="s">
        <v>596</v>
      </c>
      <c r="L135">
        <v>1191</v>
      </c>
      <c r="N135">
        <v>1013</v>
      </c>
      <c r="O135" t="s">
        <v>445</v>
      </c>
      <c r="P135" t="s">
        <v>445</v>
      </c>
      <c r="Q135">
        <v>1</v>
      </c>
      <c r="W135">
        <v>0</v>
      </c>
      <c r="X135">
        <v>-254814506</v>
      </c>
      <c r="Y135">
        <v>28.335835</v>
      </c>
      <c r="AA135">
        <v>0</v>
      </c>
      <c r="AB135">
        <v>0</v>
      </c>
      <c r="AC135">
        <v>0</v>
      </c>
      <c r="AD135">
        <v>282.94</v>
      </c>
      <c r="AE135">
        <v>0</v>
      </c>
      <c r="AF135">
        <v>0</v>
      </c>
      <c r="AG135">
        <v>0</v>
      </c>
      <c r="AH135">
        <v>9.78</v>
      </c>
      <c r="AI135">
        <v>1</v>
      </c>
      <c r="AJ135">
        <v>1</v>
      </c>
      <c r="AK135">
        <v>1</v>
      </c>
      <c r="AL135">
        <v>28.93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83.71</v>
      </c>
      <c r="AU135" t="s">
        <v>244</v>
      </c>
      <c r="AV135">
        <v>1</v>
      </c>
      <c r="AW135">
        <v>2</v>
      </c>
      <c r="AX135">
        <v>44572335</v>
      </c>
      <c r="AY135">
        <v>1</v>
      </c>
      <c r="AZ135">
        <v>0</v>
      </c>
      <c r="BA135">
        <v>137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Y135*Source!I142</f>
        <v>20.9685179</v>
      </c>
      <c r="CY135">
        <f>AD135</f>
        <v>282.94</v>
      </c>
      <c r="CZ135">
        <f>AH135</f>
        <v>9.78</v>
      </c>
      <c r="DA135">
        <f>AL135</f>
        <v>28.93</v>
      </c>
      <c r="DB135">
        <f aca="true" t="shared" si="25" ref="DB135:DB144">ROUND((ROUND(AT135*CZ135,2)*ROUND(0.3385,7)),2)</f>
        <v>277.12</v>
      </c>
      <c r="DC135">
        <f aca="true" t="shared" si="26" ref="DC135:DC144">ROUND((ROUND(AT135*AG135,2)*ROUND(0.3385,7)),2)</f>
        <v>0</v>
      </c>
    </row>
    <row r="136" spans="1:107" ht="12.75">
      <c r="A136">
        <f>ROW(Source!A142)</f>
        <v>142</v>
      </c>
      <c r="B136">
        <v>44571020</v>
      </c>
      <c r="C136">
        <v>44572320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28</v>
      </c>
      <c r="K136" t="s">
        <v>446</v>
      </c>
      <c r="L136">
        <v>608254</v>
      </c>
      <c r="N136">
        <v>1013</v>
      </c>
      <c r="O136" t="s">
        <v>447</v>
      </c>
      <c r="P136" t="s">
        <v>447</v>
      </c>
      <c r="Q136">
        <v>1</v>
      </c>
      <c r="W136">
        <v>0</v>
      </c>
      <c r="X136">
        <v>-185737400</v>
      </c>
      <c r="Y136">
        <v>24.297530000000002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28.93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71.78</v>
      </c>
      <c r="AU136" t="s">
        <v>244</v>
      </c>
      <c r="AV136">
        <v>2</v>
      </c>
      <c r="AW136">
        <v>2</v>
      </c>
      <c r="AX136">
        <v>44572336</v>
      </c>
      <c r="AY136">
        <v>1</v>
      </c>
      <c r="AZ136">
        <v>0</v>
      </c>
      <c r="BA136">
        <v>138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Y136*Source!I142</f>
        <v>17.980172200000002</v>
      </c>
      <c r="CY136">
        <f>AD136</f>
        <v>0</v>
      </c>
      <c r="CZ136">
        <f>AH136</f>
        <v>0</v>
      </c>
      <c r="DA136">
        <f>AL136</f>
        <v>1</v>
      </c>
      <c r="DB136">
        <f t="shared" si="25"/>
        <v>0</v>
      </c>
      <c r="DC136">
        <f t="shared" si="26"/>
        <v>0</v>
      </c>
    </row>
    <row r="137" spans="1:107" ht="12.75">
      <c r="A137">
        <f>ROW(Source!A142)</f>
        <v>142</v>
      </c>
      <c r="B137">
        <v>44571020</v>
      </c>
      <c r="C137">
        <v>44572320</v>
      </c>
      <c r="D137">
        <v>13901801</v>
      </c>
      <c r="E137">
        <v>1</v>
      </c>
      <c r="F137">
        <v>1</v>
      </c>
      <c r="G137">
        <v>1</v>
      </c>
      <c r="H137">
        <v>2</v>
      </c>
      <c r="I137" t="s">
        <v>583</v>
      </c>
      <c r="J137" t="s">
        <v>584</v>
      </c>
      <c r="K137" t="s">
        <v>585</v>
      </c>
      <c r="L137">
        <v>1368</v>
      </c>
      <c r="N137">
        <v>1011</v>
      </c>
      <c r="O137" t="s">
        <v>453</v>
      </c>
      <c r="P137" t="s">
        <v>453</v>
      </c>
      <c r="Q137">
        <v>1</v>
      </c>
      <c r="W137">
        <v>0</v>
      </c>
      <c r="X137">
        <v>-1587458223</v>
      </c>
      <c r="Y137">
        <v>2.575985</v>
      </c>
      <c r="AA137">
        <v>0</v>
      </c>
      <c r="AB137">
        <v>1001.59</v>
      </c>
      <c r="AC137">
        <v>379.56</v>
      </c>
      <c r="AD137">
        <v>0</v>
      </c>
      <c r="AE137">
        <v>0</v>
      </c>
      <c r="AF137">
        <v>129.74</v>
      </c>
      <c r="AG137">
        <v>13.12</v>
      </c>
      <c r="AH137">
        <v>0</v>
      </c>
      <c r="AI137">
        <v>1</v>
      </c>
      <c r="AJ137">
        <v>7.72</v>
      </c>
      <c r="AK137">
        <v>28.93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7.61</v>
      </c>
      <c r="AU137" t="s">
        <v>244</v>
      </c>
      <c r="AV137">
        <v>0</v>
      </c>
      <c r="AW137">
        <v>2</v>
      </c>
      <c r="AX137">
        <v>44572337</v>
      </c>
      <c r="AY137">
        <v>1</v>
      </c>
      <c r="AZ137">
        <v>0</v>
      </c>
      <c r="BA137">
        <v>139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Y137*Source!I142</f>
        <v>1.9062289000000001</v>
      </c>
      <c r="CY137">
        <f aca="true" t="shared" si="27" ref="CY137:CY144">AB137</f>
        <v>1001.59</v>
      </c>
      <c r="CZ137">
        <f aca="true" t="shared" si="28" ref="CZ137:CZ144">AF137</f>
        <v>129.74</v>
      </c>
      <c r="DA137">
        <f aca="true" t="shared" si="29" ref="DA137:DA144">AJ137</f>
        <v>7.72</v>
      </c>
      <c r="DB137">
        <f t="shared" si="25"/>
        <v>334.21</v>
      </c>
      <c r="DC137">
        <f t="shared" si="26"/>
        <v>33.8</v>
      </c>
    </row>
    <row r="138" spans="1:107" ht="12.75">
      <c r="A138">
        <f>ROW(Source!A142)</f>
        <v>142</v>
      </c>
      <c r="B138">
        <v>44571020</v>
      </c>
      <c r="C138">
        <v>44572320</v>
      </c>
      <c r="D138">
        <v>13902030</v>
      </c>
      <c r="E138">
        <v>1</v>
      </c>
      <c r="F138">
        <v>1</v>
      </c>
      <c r="G138">
        <v>1</v>
      </c>
      <c r="H138">
        <v>2</v>
      </c>
      <c r="I138" t="s">
        <v>473</v>
      </c>
      <c r="J138" t="s">
        <v>474</v>
      </c>
      <c r="K138" t="s">
        <v>475</v>
      </c>
      <c r="L138">
        <v>1368</v>
      </c>
      <c r="N138">
        <v>1011</v>
      </c>
      <c r="O138" t="s">
        <v>453</v>
      </c>
      <c r="P138" t="s">
        <v>453</v>
      </c>
      <c r="Q138">
        <v>1</v>
      </c>
      <c r="W138">
        <v>0</v>
      </c>
      <c r="X138">
        <v>1515030893</v>
      </c>
      <c r="Y138">
        <v>10.639055</v>
      </c>
      <c r="AA138">
        <v>0</v>
      </c>
      <c r="AB138">
        <v>236.93</v>
      </c>
      <c r="AC138">
        <v>326.33</v>
      </c>
      <c r="AD138">
        <v>0</v>
      </c>
      <c r="AE138">
        <v>0</v>
      </c>
      <c r="AF138">
        <v>30.69</v>
      </c>
      <c r="AG138">
        <v>11.28</v>
      </c>
      <c r="AH138">
        <v>0</v>
      </c>
      <c r="AI138">
        <v>1</v>
      </c>
      <c r="AJ138">
        <v>7.72</v>
      </c>
      <c r="AK138">
        <v>28.93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31.43</v>
      </c>
      <c r="AU138" t="s">
        <v>244</v>
      </c>
      <c r="AV138">
        <v>0</v>
      </c>
      <c r="AW138">
        <v>2</v>
      </c>
      <c r="AX138">
        <v>44572338</v>
      </c>
      <c r="AY138">
        <v>1</v>
      </c>
      <c r="AZ138">
        <v>0</v>
      </c>
      <c r="BA138">
        <v>140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Y138*Source!I142</f>
        <v>7.872900700000001</v>
      </c>
      <c r="CY138">
        <f t="shared" si="27"/>
        <v>236.93</v>
      </c>
      <c r="CZ138">
        <f t="shared" si="28"/>
        <v>30.69</v>
      </c>
      <c r="DA138">
        <f t="shared" si="29"/>
        <v>7.72</v>
      </c>
      <c r="DB138">
        <f t="shared" si="25"/>
        <v>326.51</v>
      </c>
      <c r="DC138">
        <f t="shared" si="26"/>
        <v>120.01</v>
      </c>
    </row>
    <row r="139" spans="1:107" ht="12.75">
      <c r="A139">
        <f>ROW(Source!A142)</f>
        <v>142</v>
      </c>
      <c r="B139">
        <v>44571020</v>
      </c>
      <c r="C139">
        <v>44572320</v>
      </c>
      <c r="D139">
        <v>13902040</v>
      </c>
      <c r="E139">
        <v>1</v>
      </c>
      <c r="F139">
        <v>1</v>
      </c>
      <c r="G139">
        <v>1</v>
      </c>
      <c r="H139">
        <v>2</v>
      </c>
      <c r="I139" t="s">
        <v>597</v>
      </c>
      <c r="J139" t="s">
        <v>598</v>
      </c>
      <c r="K139" t="s">
        <v>599</v>
      </c>
      <c r="L139">
        <v>1368</v>
      </c>
      <c r="N139">
        <v>1011</v>
      </c>
      <c r="O139" t="s">
        <v>453</v>
      </c>
      <c r="P139" t="s">
        <v>453</v>
      </c>
      <c r="Q139">
        <v>1</v>
      </c>
      <c r="W139">
        <v>0</v>
      </c>
      <c r="X139">
        <v>-1520199522</v>
      </c>
      <c r="Y139">
        <v>7.75165</v>
      </c>
      <c r="AA139">
        <v>0</v>
      </c>
      <c r="AB139">
        <v>108.85</v>
      </c>
      <c r="AC139">
        <v>0</v>
      </c>
      <c r="AD139">
        <v>0</v>
      </c>
      <c r="AE139">
        <v>0</v>
      </c>
      <c r="AF139">
        <v>14.1</v>
      </c>
      <c r="AG139">
        <v>0</v>
      </c>
      <c r="AH139">
        <v>0</v>
      </c>
      <c r="AI139">
        <v>1</v>
      </c>
      <c r="AJ139">
        <v>7.72</v>
      </c>
      <c r="AK139">
        <v>28.93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22.9</v>
      </c>
      <c r="AU139" t="s">
        <v>244</v>
      </c>
      <c r="AV139">
        <v>0</v>
      </c>
      <c r="AW139">
        <v>2</v>
      </c>
      <c r="AX139">
        <v>44572339</v>
      </c>
      <c r="AY139">
        <v>1</v>
      </c>
      <c r="AZ139">
        <v>0</v>
      </c>
      <c r="BA139">
        <v>141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Y139*Source!I142</f>
        <v>5.736221</v>
      </c>
      <c r="CY139">
        <f t="shared" si="27"/>
        <v>108.85</v>
      </c>
      <c r="CZ139">
        <f t="shared" si="28"/>
        <v>14.1</v>
      </c>
      <c r="DA139">
        <f t="shared" si="29"/>
        <v>7.72</v>
      </c>
      <c r="DB139">
        <f t="shared" si="25"/>
        <v>109.3</v>
      </c>
      <c r="DC139">
        <f t="shared" si="26"/>
        <v>0</v>
      </c>
    </row>
    <row r="140" spans="1:107" ht="12.75">
      <c r="A140">
        <f>ROW(Source!A142)</f>
        <v>142</v>
      </c>
      <c r="B140">
        <v>44571020</v>
      </c>
      <c r="C140">
        <v>44572320</v>
      </c>
      <c r="D140">
        <v>13902055</v>
      </c>
      <c r="E140">
        <v>1</v>
      </c>
      <c r="F140">
        <v>1</v>
      </c>
      <c r="G140">
        <v>1</v>
      </c>
      <c r="H140">
        <v>2</v>
      </c>
      <c r="I140" t="s">
        <v>600</v>
      </c>
      <c r="J140" t="s">
        <v>601</v>
      </c>
      <c r="K140" t="s">
        <v>602</v>
      </c>
      <c r="L140">
        <v>1368</v>
      </c>
      <c r="N140">
        <v>1011</v>
      </c>
      <c r="O140" t="s">
        <v>453</v>
      </c>
      <c r="P140" t="s">
        <v>453</v>
      </c>
      <c r="Q140">
        <v>1</v>
      </c>
      <c r="W140">
        <v>0</v>
      </c>
      <c r="X140">
        <v>-2118763821</v>
      </c>
      <c r="Y140">
        <v>2.87725</v>
      </c>
      <c r="AA140">
        <v>0</v>
      </c>
      <c r="AB140">
        <v>12.2</v>
      </c>
      <c r="AC140">
        <v>0</v>
      </c>
      <c r="AD140">
        <v>0</v>
      </c>
      <c r="AE140">
        <v>0</v>
      </c>
      <c r="AF140">
        <v>1.58</v>
      </c>
      <c r="AG140">
        <v>0</v>
      </c>
      <c r="AH140">
        <v>0</v>
      </c>
      <c r="AI140">
        <v>1</v>
      </c>
      <c r="AJ140">
        <v>7.72</v>
      </c>
      <c r="AK140">
        <v>28.93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8.5</v>
      </c>
      <c r="AU140" t="s">
        <v>244</v>
      </c>
      <c r="AV140">
        <v>0</v>
      </c>
      <c r="AW140">
        <v>2</v>
      </c>
      <c r="AX140">
        <v>44572340</v>
      </c>
      <c r="AY140">
        <v>1</v>
      </c>
      <c r="AZ140">
        <v>0</v>
      </c>
      <c r="BA140">
        <v>142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Y140*Source!I142</f>
        <v>2.129165</v>
      </c>
      <c r="CY140">
        <f t="shared" si="27"/>
        <v>12.2</v>
      </c>
      <c r="CZ140">
        <f t="shared" si="28"/>
        <v>1.58</v>
      </c>
      <c r="DA140">
        <f t="shared" si="29"/>
        <v>7.72</v>
      </c>
      <c r="DB140">
        <f t="shared" si="25"/>
        <v>4.55</v>
      </c>
      <c r="DC140">
        <f t="shared" si="26"/>
        <v>0</v>
      </c>
    </row>
    <row r="141" spans="1:107" ht="12.75">
      <c r="A141">
        <f>ROW(Source!A142)</f>
        <v>142</v>
      </c>
      <c r="B141">
        <v>44571020</v>
      </c>
      <c r="C141">
        <v>44572320</v>
      </c>
      <c r="D141">
        <v>13902167</v>
      </c>
      <c r="E141">
        <v>1</v>
      </c>
      <c r="F141">
        <v>1</v>
      </c>
      <c r="G141">
        <v>1</v>
      </c>
      <c r="H141">
        <v>2</v>
      </c>
      <c r="I141" t="s">
        <v>603</v>
      </c>
      <c r="J141" t="s">
        <v>604</v>
      </c>
      <c r="K141" t="s">
        <v>605</v>
      </c>
      <c r="L141">
        <v>1368</v>
      </c>
      <c r="N141">
        <v>1011</v>
      </c>
      <c r="O141" t="s">
        <v>453</v>
      </c>
      <c r="P141" t="s">
        <v>453</v>
      </c>
      <c r="Q141">
        <v>1</v>
      </c>
      <c r="W141">
        <v>0</v>
      </c>
      <c r="X141">
        <v>1998521497</v>
      </c>
      <c r="Y141">
        <v>0.11509000000000001</v>
      </c>
      <c r="AA141">
        <v>0</v>
      </c>
      <c r="AB141">
        <v>902.16</v>
      </c>
      <c r="AC141">
        <v>326.33</v>
      </c>
      <c r="AD141">
        <v>0</v>
      </c>
      <c r="AE141">
        <v>0</v>
      </c>
      <c r="AF141">
        <v>116.86</v>
      </c>
      <c r="AG141">
        <v>11.28</v>
      </c>
      <c r="AH141">
        <v>0</v>
      </c>
      <c r="AI141">
        <v>1</v>
      </c>
      <c r="AJ141">
        <v>7.72</v>
      </c>
      <c r="AK141">
        <v>28.93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0.34</v>
      </c>
      <c r="AU141" t="s">
        <v>244</v>
      </c>
      <c r="AV141">
        <v>0</v>
      </c>
      <c r="AW141">
        <v>2</v>
      </c>
      <c r="AX141">
        <v>44572341</v>
      </c>
      <c r="AY141">
        <v>1</v>
      </c>
      <c r="AZ141">
        <v>0</v>
      </c>
      <c r="BA141">
        <v>143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Y141*Source!I142</f>
        <v>0.08516660000000001</v>
      </c>
      <c r="CY141">
        <f t="shared" si="27"/>
        <v>902.16</v>
      </c>
      <c r="CZ141">
        <f t="shared" si="28"/>
        <v>116.86</v>
      </c>
      <c r="DA141">
        <f t="shared" si="29"/>
        <v>7.72</v>
      </c>
      <c r="DB141">
        <f t="shared" si="25"/>
        <v>13.45</v>
      </c>
      <c r="DC141">
        <f t="shared" si="26"/>
        <v>1.3</v>
      </c>
    </row>
    <row r="142" spans="1:107" ht="12.75">
      <c r="A142">
        <f>ROW(Source!A142)</f>
        <v>142</v>
      </c>
      <c r="B142">
        <v>44571020</v>
      </c>
      <c r="C142">
        <v>44572320</v>
      </c>
      <c r="D142">
        <v>13902589</v>
      </c>
      <c r="E142">
        <v>1</v>
      </c>
      <c r="F142">
        <v>1</v>
      </c>
      <c r="G142">
        <v>1</v>
      </c>
      <c r="H142">
        <v>2</v>
      </c>
      <c r="I142" t="s">
        <v>589</v>
      </c>
      <c r="J142" t="s">
        <v>590</v>
      </c>
      <c r="K142" t="s">
        <v>591</v>
      </c>
      <c r="L142">
        <v>1368</v>
      </c>
      <c r="N142">
        <v>1011</v>
      </c>
      <c r="O142" t="s">
        <v>453</v>
      </c>
      <c r="P142" t="s">
        <v>453</v>
      </c>
      <c r="Q142">
        <v>1</v>
      </c>
      <c r="W142">
        <v>0</v>
      </c>
      <c r="X142">
        <v>-249495239</v>
      </c>
      <c r="Y142">
        <v>0.8124</v>
      </c>
      <c r="AA142">
        <v>0</v>
      </c>
      <c r="AB142">
        <v>1040.58</v>
      </c>
      <c r="AC142">
        <v>326.33</v>
      </c>
      <c r="AD142">
        <v>0</v>
      </c>
      <c r="AE142">
        <v>0</v>
      </c>
      <c r="AF142">
        <v>134.79</v>
      </c>
      <c r="AG142">
        <v>11.28</v>
      </c>
      <c r="AH142">
        <v>0</v>
      </c>
      <c r="AI142">
        <v>1</v>
      </c>
      <c r="AJ142">
        <v>7.72</v>
      </c>
      <c r="AK142">
        <v>28.93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2.4</v>
      </c>
      <c r="AU142" t="s">
        <v>244</v>
      </c>
      <c r="AV142">
        <v>0</v>
      </c>
      <c r="AW142">
        <v>2</v>
      </c>
      <c r="AX142">
        <v>44572342</v>
      </c>
      <c r="AY142">
        <v>1</v>
      </c>
      <c r="AZ142">
        <v>0</v>
      </c>
      <c r="BA142">
        <v>144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Y142*Source!I142</f>
        <v>0.601176</v>
      </c>
      <c r="CY142">
        <f t="shared" si="27"/>
        <v>1040.58</v>
      </c>
      <c r="CZ142">
        <f t="shared" si="28"/>
        <v>134.79</v>
      </c>
      <c r="DA142">
        <f t="shared" si="29"/>
        <v>7.72</v>
      </c>
      <c r="DB142">
        <f t="shared" si="25"/>
        <v>109.5</v>
      </c>
      <c r="DC142">
        <f t="shared" si="26"/>
        <v>9.16</v>
      </c>
    </row>
    <row r="143" spans="1:107" ht="12.75">
      <c r="A143">
        <f>ROW(Source!A142)</f>
        <v>142</v>
      </c>
      <c r="B143">
        <v>44571020</v>
      </c>
      <c r="C143">
        <v>44572320</v>
      </c>
      <c r="D143">
        <v>13903509</v>
      </c>
      <c r="E143">
        <v>1</v>
      </c>
      <c r="F143">
        <v>1</v>
      </c>
      <c r="G143">
        <v>1</v>
      </c>
      <c r="H143">
        <v>2</v>
      </c>
      <c r="I143" t="s">
        <v>592</v>
      </c>
      <c r="J143" t="s">
        <v>593</v>
      </c>
      <c r="K143" t="s">
        <v>594</v>
      </c>
      <c r="L143">
        <v>1368</v>
      </c>
      <c r="N143">
        <v>1011</v>
      </c>
      <c r="O143" t="s">
        <v>453</v>
      </c>
      <c r="P143" t="s">
        <v>453</v>
      </c>
      <c r="Q143">
        <v>1</v>
      </c>
      <c r="W143">
        <v>0</v>
      </c>
      <c r="X143">
        <v>620179637</v>
      </c>
      <c r="Y143">
        <v>10.155000000000001</v>
      </c>
      <c r="AA143">
        <v>0</v>
      </c>
      <c r="AB143">
        <v>12792.04</v>
      </c>
      <c r="AC143">
        <v>433.66</v>
      </c>
      <c r="AD143">
        <v>0</v>
      </c>
      <c r="AE143">
        <v>0</v>
      </c>
      <c r="AF143">
        <v>1657</v>
      </c>
      <c r="AG143">
        <v>14.99</v>
      </c>
      <c r="AH143">
        <v>0</v>
      </c>
      <c r="AI143">
        <v>1</v>
      </c>
      <c r="AJ143">
        <v>7.72</v>
      </c>
      <c r="AK143">
        <v>28.93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30</v>
      </c>
      <c r="AU143" t="s">
        <v>244</v>
      </c>
      <c r="AV143">
        <v>0</v>
      </c>
      <c r="AW143">
        <v>2</v>
      </c>
      <c r="AX143">
        <v>44572343</v>
      </c>
      <c r="AY143">
        <v>1</v>
      </c>
      <c r="AZ143">
        <v>0</v>
      </c>
      <c r="BA143">
        <v>145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Y143*Source!I142</f>
        <v>7.5147</v>
      </c>
      <c r="CY143">
        <f t="shared" si="27"/>
        <v>12792.04</v>
      </c>
      <c r="CZ143">
        <f t="shared" si="28"/>
        <v>1657</v>
      </c>
      <c r="DA143">
        <f t="shared" si="29"/>
        <v>7.72</v>
      </c>
      <c r="DB143">
        <f t="shared" si="25"/>
        <v>16826.84</v>
      </c>
      <c r="DC143">
        <f t="shared" si="26"/>
        <v>152.22</v>
      </c>
    </row>
    <row r="144" spans="1:107" ht="12.75">
      <c r="A144">
        <f>ROW(Source!A142)</f>
        <v>142</v>
      </c>
      <c r="B144">
        <v>44571020</v>
      </c>
      <c r="C144">
        <v>44572320</v>
      </c>
      <c r="D144">
        <v>13904234</v>
      </c>
      <c r="E144">
        <v>1</v>
      </c>
      <c r="F144">
        <v>1</v>
      </c>
      <c r="G144">
        <v>1</v>
      </c>
      <c r="H144">
        <v>2</v>
      </c>
      <c r="I144" t="s">
        <v>606</v>
      </c>
      <c r="J144" t="s">
        <v>607</v>
      </c>
      <c r="K144" t="s">
        <v>608</v>
      </c>
      <c r="L144">
        <v>1368</v>
      </c>
      <c r="N144">
        <v>1011</v>
      </c>
      <c r="O144" t="s">
        <v>453</v>
      </c>
      <c r="P144" t="s">
        <v>453</v>
      </c>
      <c r="Q144">
        <v>1</v>
      </c>
      <c r="W144">
        <v>0</v>
      </c>
      <c r="X144">
        <v>250019253</v>
      </c>
      <c r="Y144">
        <v>0.11509000000000001</v>
      </c>
      <c r="AA144">
        <v>0</v>
      </c>
      <c r="AB144">
        <v>854.45</v>
      </c>
      <c r="AC144">
        <v>0</v>
      </c>
      <c r="AD144">
        <v>0</v>
      </c>
      <c r="AE144">
        <v>0</v>
      </c>
      <c r="AF144">
        <v>110.68</v>
      </c>
      <c r="AG144">
        <v>0</v>
      </c>
      <c r="AH144">
        <v>0</v>
      </c>
      <c r="AI144">
        <v>1</v>
      </c>
      <c r="AJ144">
        <v>7.72</v>
      </c>
      <c r="AK144">
        <v>28.93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0.34</v>
      </c>
      <c r="AU144" t="s">
        <v>244</v>
      </c>
      <c r="AV144">
        <v>0</v>
      </c>
      <c r="AW144">
        <v>2</v>
      </c>
      <c r="AX144">
        <v>44572344</v>
      </c>
      <c r="AY144">
        <v>1</v>
      </c>
      <c r="AZ144">
        <v>0</v>
      </c>
      <c r="BA144">
        <v>146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Y144*Source!I142</f>
        <v>0.08516660000000001</v>
      </c>
      <c r="CY144">
        <f t="shared" si="27"/>
        <v>854.45</v>
      </c>
      <c r="CZ144">
        <f t="shared" si="28"/>
        <v>110.68</v>
      </c>
      <c r="DA144">
        <f t="shared" si="29"/>
        <v>7.72</v>
      </c>
      <c r="DB144">
        <f t="shared" si="25"/>
        <v>12.74</v>
      </c>
      <c r="DC144">
        <f t="shared" si="26"/>
        <v>0</v>
      </c>
    </row>
    <row r="145" spans="1:107" ht="12.75">
      <c r="A145">
        <f>ROW(Source!A142)</f>
        <v>142</v>
      </c>
      <c r="B145">
        <v>44571020</v>
      </c>
      <c r="C145">
        <v>44572320</v>
      </c>
      <c r="D145">
        <v>13905491</v>
      </c>
      <c r="E145">
        <v>1</v>
      </c>
      <c r="F145">
        <v>1</v>
      </c>
      <c r="G145">
        <v>1</v>
      </c>
      <c r="H145">
        <v>3</v>
      </c>
      <c r="I145" t="s">
        <v>609</v>
      </c>
      <c r="J145" t="s">
        <v>610</v>
      </c>
      <c r="K145" t="s">
        <v>611</v>
      </c>
      <c r="L145">
        <v>1339</v>
      </c>
      <c r="N145">
        <v>1007</v>
      </c>
      <c r="O145" t="s">
        <v>283</v>
      </c>
      <c r="P145" t="s">
        <v>283</v>
      </c>
      <c r="Q145">
        <v>1</v>
      </c>
      <c r="W145">
        <v>0</v>
      </c>
      <c r="X145">
        <v>-1300669483</v>
      </c>
      <c r="Y145">
        <v>5.62</v>
      </c>
      <c r="AA145">
        <v>35.28</v>
      </c>
      <c r="AB145">
        <v>0</v>
      </c>
      <c r="AC145">
        <v>0</v>
      </c>
      <c r="AD145">
        <v>0</v>
      </c>
      <c r="AE145">
        <v>6.85</v>
      </c>
      <c r="AF145">
        <v>0</v>
      </c>
      <c r="AG145">
        <v>0</v>
      </c>
      <c r="AH145">
        <v>0</v>
      </c>
      <c r="AI145">
        <v>5.15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5.62</v>
      </c>
      <c r="AV145">
        <v>0</v>
      </c>
      <c r="AW145">
        <v>2</v>
      </c>
      <c r="AX145">
        <v>44572345</v>
      </c>
      <c r="AY145">
        <v>1</v>
      </c>
      <c r="AZ145">
        <v>0</v>
      </c>
      <c r="BA145">
        <v>147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Y145*Source!I142</f>
        <v>4.1588</v>
      </c>
      <c r="CY145">
        <f>AA145</f>
        <v>35.28</v>
      </c>
      <c r="CZ145">
        <f>AE145</f>
        <v>6.85</v>
      </c>
      <c r="DA145">
        <f>AI145</f>
        <v>5.15</v>
      </c>
      <c r="DB145">
        <f>ROUND(ROUND(AT145*CZ145,2),2)</f>
        <v>38.5</v>
      </c>
      <c r="DC145">
        <f>ROUND(ROUND(AT145*AG145,2),2)</f>
        <v>0</v>
      </c>
    </row>
    <row r="146" spans="1:107" ht="12.75">
      <c r="A146">
        <f>ROW(Source!A142)</f>
        <v>142</v>
      </c>
      <c r="B146">
        <v>44571020</v>
      </c>
      <c r="C146">
        <v>44572320</v>
      </c>
      <c r="D146">
        <v>13907179</v>
      </c>
      <c r="E146">
        <v>1</v>
      </c>
      <c r="F146">
        <v>1</v>
      </c>
      <c r="G146">
        <v>1</v>
      </c>
      <c r="H146">
        <v>3</v>
      </c>
      <c r="I146" t="s">
        <v>612</v>
      </c>
      <c r="J146" t="s">
        <v>613</v>
      </c>
      <c r="K146" t="s">
        <v>614</v>
      </c>
      <c r="L146">
        <v>1348</v>
      </c>
      <c r="N146">
        <v>1009</v>
      </c>
      <c r="O146" t="s">
        <v>322</v>
      </c>
      <c r="P146" t="s">
        <v>322</v>
      </c>
      <c r="Q146">
        <v>1000</v>
      </c>
      <c r="W146">
        <v>0</v>
      </c>
      <c r="X146">
        <v>1076206689</v>
      </c>
      <c r="Y146">
        <v>0.0368</v>
      </c>
      <c r="AA146">
        <v>77432.72</v>
      </c>
      <c r="AB146">
        <v>0</v>
      </c>
      <c r="AC146">
        <v>0</v>
      </c>
      <c r="AD146">
        <v>0</v>
      </c>
      <c r="AE146">
        <v>15035.48</v>
      </c>
      <c r="AF146">
        <v>0</v>
      </c>
      <c r="AG146">
        <v>0</v>
      </c>
      <c r="AH146">
        <v>0</v>
      </c>
      <c r="AI146">
        <v>5.15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0.0368</v>
      </c>
      <c r="AV146">
        <v>0</v>
      </c>
      <c r="AW146">
        <v>2</v>
      </c>
      <c r="AX146">
        <v>44572346</v>
      </c>
      <c r="AY146">
        <v>1</v>
      </c>
      <c r="AZ146">
        <v>0</v>
      </c>
      <c r="BA146">
        <v>148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Y146*Source!I142</f>
        <v>0.027232</v>
      </c>
      <c r="CY146">
        <f>AA146</f>
        <v>77432.72</v>
      </c>
      <c r="CZ146">
        <f>AE146</f>
        <v>15035.48</v>
      </c>
      <c r="DA146">
        <f>AI146</f>
        <v>5.15</v>
      </c>
      <c r="DB146">
        <f>ROUND(ROUND(AT146*CZ146,2),2)</f>
        <v>553.31</v>
      </c>
      <c r="DC146">
        <f>ROUND(ROUND(AT146*AG146,2),2)</f>
        <v>0</v>
      </c>
    </row>
    <row r="147" spans="1:107" ht="12.75">
      <c r="A147">
        <f>ROW(Source!A142)</f>
        <v>142</v>
      </c>
      <c r="B147">
        <v>44571020</v>
      </c>
      <c r="C147">
        <v>44572320</v>
      </c>
      <c r="D147">
        <v>13907255</v>
      </c>
      <c r="E147">
        <v>1</v>
      </c>
      <c r="F147">
        <v>1</v>
      </c>
      <c r="G147">
        <v>1</v>
      </c>
      <c r="H147">
        <v>3</v>
      </c>
      <c r="I147" t="s">
        <v>615</v>
      </c>
      <c r="J147" t="s">
        <v>616</v>
      </c>
      <c r="K147" t="s">
        <v>617</v>
      </c>
      <c r="L147">
        <v>1339</v>
      </c>
      <c r="N147">
        <v>1007</v>
      </c>
      <c r="O147" t="s">
        <v>283</v>
      </c>
      <c r="P147" t="s">
        <v>283</v>
      </c>
      <c r="Q147">
        <v>1</v>
      </c>
      <c r="W147">
        <v>0</v>
      </c>
      <c r="X147">
        <v>-552199212</v>
      </c>
      <c r="Y147">
        <v>1.88</v>
      </c>
      <c r="AA147">
        <v>92.7</v>
      </c>
      <c r="AB147">
        <v>0</v>
      </c>
      <c r="AC147">
        <v>0</v>
      </c>
      <c r="AD147">
        <v>0</v>
      </c>
      <c r="AE147">
        <v>18</v>
      </c>
      <c r="AF147">
        <v>0</v>
      </c>
      <c r="AG147">
        <v>0</v>
      </c>
      <c r="AH147">
        <v>0</v>
      </c>
      <c r="AI147">
        <v>5.15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1.88</v>
      </c>
      <c r="AV147">
        <v>0</v>
      </c>
      <c r="AW147">
        <v>2</v>
      </c>
      <c r="AX147">
        <v>44572347</v>
      </c>
      <c r="AY147">
        <v>1</v>
      </c>
      <c r="AZ147">
        <v>0</v>
      </c>
      <c r="BA147">
        <v>149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Y147*Source!I142</f>
        <v>1.3912</v>
      </c>
      <c r="CY147">
        <f>AA147</f>
        <v>92.7</v>
      </c>
      <c r="CZ147">
        <f>AE147</f>
        <v>18</v>
      </c>
      <c r="DA147">
        <f>AI147</f>
        <v>5.15</v>
      </c>
      <c r="DB147">
        <f>ROUND(ROUND(AT147*CZ147,2),2)</f>
        <v>33.84</v>
      </c>
      <c r="DC147">
        <f>ROUND(ROUND(AT147*AG147,2),2)</f>
        <v>0</v>
      </c>
    </row>
    <row r="148" spans="1:107" ht="12.75">
      <c r="A148">
        <f>ROW(Source!A142)</f>
        <v>142</v>
      </c>
      <c r="B148">
        <v>44571020</v>
      </c>
      <c r="C148">
        <v>44572320</v>
      </c>
      <c r="D148">
        <v>13985061</v>
      </c>
      <c r="E148">
        <v>1</v>
      </c>
      <c r="F148">
        <v>1</v>
      </c>
      <c r="G148">
        <v>1</v>
      </c>
      <c r="H148">
        <v>3</v>
      </c>
      <c r="I148" t="s">
        <v>489</v>
      </c>
      <c r="J148" t="s">
        <v>490</v>
      </c>
      <c r="K148" t="s">
        <v>491</v>
      </c>
      <c r="L148">
        <v>1339</v>
      </c>
      <c r="N148">
        <v>1007</v>
      </c>
      <c r="O148" t="s">
        <v>283</v>
      </c>
      <c r="P148" t="s">
        <v>283</v>
      </c>
      <c r="Q148">
        <v>1</v>
      </c>
      <c r="W148">
        <v>0</v>
      </c>
      <c r="X148">
        <v>-129011492</v>
      </c>
      <c r="Y148">
        <v>12.44</v>
      </c>
      <c r="AA148">
        <v>32.45</v>
      </c>
      <c r="AB148">
        <v>0</v>
      </c>
      <c r="AC148">
        <v>0</v>
      </c>
      <c r="AD148">
        <v>0</v>
      </c>
      <c r="AE148">
        <v>6.3</v>
      </c>
      <c r="AF148">
        <v>0</v>
      </c>
      <c r="AG148">
        <v>0</v>
      </c>
      <c r="AH148">
        <v>0</v>
      </c>
      <c r="AI148">
        <v>5.15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12.44</v>
      </c>
      <c r="AV148">
        <v>0</v>
      </c>
      <c r="AW148">
        <v>2</v>
      </c>
      <c r="AX148">
        <v>44572351</v>
      </c>
      <c r="AY148">
        <v>1</v>
      </c>
      <c r="AZ148">
        <v>0</v>
      </c>
      <c r="BA148">
        <v>153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Y148*Source!I142</f>
        <v>9.205599999999999</v>
      </c>
      <c r="CY148">
        <f>AA148</f>
        <v>32.45</v>
      </c>
      <c r="CZ148">
        <f>AE148</f>
        <v>6.3</v>
      </c>
      <c r="DA148">
        <f>AI148</f>
        <v>5.15</v>
      </c>
      <c r="DB148">
        <f>ROUND(ROUND(AT148*CZ148,2),2)</f>
        <v>78.37</v>
      </c>
      <c r="DC148">
        <f>ROUND(ROUND(AT148*AG148,2),2)</f>
        <v>0</v>
      </c>
    </row>
    <row r="149" spans="1:107" ht="12.75">
      <c r="A149">
        <f>ROW(Source!A188)</f>
        <v>188</v>
      </c>
      <c r="B149">
        <v>44571020</v>
      </c>
      <c r="C149">
        <v>44578938</v>
      </c>
      <c r="D149">
        <v>9924372</v>
      </c>
      <c r="E149">
        <v>1</v>
      </c>
      <c r="F149">
        <v>1</v>
      </c>
      <c r="G149">
        <v>1</v>
      </c>
      <c r="H149">
        <v>1</v>
      </c>
      <c r="I149" t="s">
        <v>618</v>
      </c>
      <c r="K149" t="s">
        <v>619</v>
      </c>
      <c r="L149">
        <v>1191</v>
      </c>
      <c r="N149">
        <v>1013</v>
      </c>
      <c r="O149" t="s">
        <v>445</v>
      </c>
      <c r="P149" t="s">
        <v>445</v>
      </c>
      <c r="Q149">
        <v>1</v>
      </c>
      <c r="W149">
        <v>0</v>
      </c>
      <c r="X149">
        <v>-561758510</v>
      </c>
      <c r="Y149">
        <v>248.124</v>
      </c>
      <c r="AA149">
        <v>0</v>
      </c>
      <c r="AB149">
        <v>0</v>
      </c>
      <c r="AC149">
        <v>0</v>
      </c>
      <c r="AD149">
        <v>233.75</v>
      </c>
      <c r="AE149">
        <v>0</v>
      </c>
      <c r="AF149">
        <v>0</v>
      </c>
      <c r="AG149">
        <v>0</v>
      </c>
      <c r="AH149">
        <v>8.08</v>
      </c>
      <c r="AI149">
        <v>1</v>
      </c>
      <c r="AJ149">
        <v>1</v>
      </c>
      <c r="AK149">
        <v>1</v>
      </c>
      <c r="AL149">
        <v>28.93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179.8</v>
      </c>
      <c r="AU149" t="s">
        <v>86</v>
      </c>
      <c r="AV149">
        <v>1</v>
      </c>
      <c r="AW149">
        <v>2</v>
      </c>
      <c r="AX149">
        <v>44578944</v>
      </c>
      <c r="AY149">
        <v>1</v>
      </c>
      <c r="AZ149">
        <v>0</v>
      </c>
      <c r="BA149">
        <v>154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Y149*Source!I188</f>
        <v>0.992496</v>
      </c>
      <c r="CY149">
        <f>AD149</f>
        <v>233.75</v>
      </c>
      <c r="CZ149">
        <f>AH149</f>
        <v>8.08</v>
      </c>
      <c r="DA149">
        <f>AL149</f>
        <v>28.93</v>
      </c>
      <c r="DB149">
        <f aca="true" t="shared" si="30" ref="DB149:DB159">ROUND((ROUND(AT149*CZ149,2)*ROUND((1.15*1.2),7)),2)</f>
        <v>2004.84</v>
      </c>
      <c r="DC149">
        <f aca="true" t="shared" si="31" ref="DC149:DC159">ROUND((ROUND(AT149*AG149,2)*ROUND((1.15*1.2),7)),2)</f>
        <v>0</v>
      </c>
    </row>
    <row r="150" spans="1:107" ht="12.75">
      <c r="A150">
        <f>ROW(Source!A188)</f>
        <v>188</v>
      </c>
      <c r="B150">
        <v>44571020</v>
      </c>
      <c r="C150">
        <v>44578938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28</v>
      </c>
      <c r="K150" t="s">
        <v>446</v>
      </c>
      <c r="L150">
        <v>608254</v>
      </c>
      <c r="N150">
        <v>1013</v>
      </c>
      <c r="O150" t="s">
        <v>447</v>
      </c>
      <c r="P150" t="s">
        <v>447</v>
      </c>
      <c r="Q150">
        <v>1</v>
      </c>
      <c r="W150">
        <v>0</v>
      </c>
      <c r="X150">
        <v>-185737400</v>
      </c>
      <c r="Y150">
        <v>62.96939999999999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28.93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45.63</v>
      </c>
      <c r="AU150" t="s">
        <v>86</v>
      </c>
      <c r="AV150">
        <v>2</v>
      </c>
      <c r="AW150">
        <v>2</v>
      </c>
      <c r="AX150">
        <v>44578945</v>
      </c>
      <c r="AY150">
        <v>1</v>
      </c>
      <c r="AZ150">
        <v>0</v>
      </c>
      <c r="BA150">
        <v>155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Y150*Source!I188</f>
        <v>0.2518776</v>
      </c>
      <c r="CY150">
        <f>AD150</f>
        <v>0</v>
      </c>
      <c r="CZ150">
        <f>AH150</f>
        <v>0</v>
      </c>
      <c r="DA150">
        <f>AL150</f>
        <v>1</v>
      </c>
      <c r="DB150">
        <f t="shared" si="30"/>
        <v>0</v>
      </c>
      <c r="DC150">
        <f t="shared" si="31"/>
        <v>0</v>
      </c>
    </row>
    <row r="151" spans="1:107" ht="12.75">
      <c r="A151">
        <f>ROW(Source!A188)</f>
        <v>188</v>
      </c>
      <c r="B151">
        <v>44571020</v>
      </c>
      <c r="C151">
        <v>44578938</v>
      </c>
      <c r="D151">
        <v>13902095</v>
      </c>
      <c r="E151">
        <v>1</v>
      </c>
      <c r="F151">
        <v>1</v>
      </c>
      <c r="G151">
        <v>1</v>
      </c>
      <c r="H151">
        <v>2</v>
      </c>
      <c r="I151" t="s">
        <v>459</v>
      </c>
      <c r="J151" t="s">
        <v>460</v>
      </c>
      <c r="K151" t="s">
        <v>461</v>
      </c>
      <c r="L151">
        <v>1368</v>
      </c>
      <c r="N151">
        <v>1011</v>
      </c>
      <c r="O151" t="s">
        <v>453</v>
      </c>
      <c r="P151" t="s">
        <v>453</v>
      </c>
      <c r="Q151">
        <v>1</v>
      </c>
      <c r="W151">
        <v>0</v>
      </c>
      <c r="X151">
        <v>-1349962571</v>
      </c>
      <c r="Y151">
        <v>60.83039999999999</v>
      </c>
      <c r="AA151">
        <v>0</v>
      </c>
      <c r="AB151">
        <v>805.5</v>
      </c>
      <c r="AC151">
        <v>282.94</v>
      </c>
      <c r="AD151">
        <v>0</v>
      </c>
      <c r="AE151">
        <v>0</v>
      </c>
      <c r="AF151">
        <v>104.34</v>
      </c>
      <c r="AG151">
        <v>9.78</v>
      </c>
      <c r="AH151">
        <v>0</v>
      </c>
      <c r="AI151">
        <v>1</v>
      </c>
      <c r="AJ151">
        <v>7.72</v>
      </c>
      <c r="AK151">
        <v>28.93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44.08</v>
      </c>
      <c r="AU151" t="s">
        <v>86</v>
      </c>
      <c r="AV151">
        <v>0</v>
      </c>
      <c r="AW151">
        <v>2</v>
      </c>
      <c r="AX151">
        <v>44578946</v>
      </c>
      <c r="AY151">
        <v>1</v>
      </c>
      <c r="AZ151">
        <v>0</v>
      </c>
      <c r="BA151">
        <v>156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Y151*Source!I188</f>
        <v>0.24332159999999997</v>
      </c>
      <c r="CY151">
        <f>AB151</f>
        <v>805.5</v>
      </c>
      <c r="CZ151">
        <f>AF151</f>
        <v>104.34</v>
      </c>
      <c r="DA151">
        <f>AJ151</f>
        <v>7.72</v>
      </c>
      <c r="DB151">
        <f t="shared" si="30"/>
        <v>6347.05</v>
      </c>
      <c r="DC151">
        <f t="shared" si="31"/>
        <v>594.92</v>
      </c>
    </row>
    <row r="152" spans="1:107" ht="12.75">
      <c r="A152">
        <f>ROW(Source!A188)</f>
        <v>188</v>
      </c>
      <c r="B152">
        <v>44571020</v>
      </c>
      <c r="C152">
        <v>44578938</v>
      </c>
      <c r="D152">
        <v>13902478</v>
      </c>
      <c r="E152">
        <v>1</v>
      </c>
      <c r="F152">
        <v>1</v>
      </c>
      <c r="G152">
        <v>1</v>
      </c>
      <c r="H152">
        <v>2</v>
      </c>
      <c r="I152" t="s">
        <v>620</v>
      </c>
      <c r="J152" t="s">
        <v>621</v>
      </c>
      <c r="K152" t="s">
        <v>622</v>
      </c>
      <c r="L152">
        <v>1368</v>
      </c>
      <c r="N152">
        <v>1011</v>
      </c>
      <c r="O152" t="s">
        <v>453</v>
      </c>
      <c r="P152" t="s">
        <v>453</v>
      </c>
      <c r="Q152">
        <v>1</v>
      </c>
      <c r="W152">
        <v>0</v>
      </c>
      <c r="X152">
        <v>-1121905244</v>
      </c>
      <c r="Y152">
        <v>2.139</v>
      </c>
      <c r="AA152">
        <v>0</v>
      </c>
      <c r="AB152">
        <v>992.02</v>
      </c>
      <c r="AC152">
        <v>379.56</v>
      </c>
      <c r="AD152">
        <v>0</v>
      </c>
      <c r="AE152">
        <v>0</v>
      </c>
      <c r="AF152">
        <v>128.5</v>
      </c>
      <c r="AG152">
        <v>13.12</v>
      </c>
      <c r="AH152">
        <v>0</v>
      </c>
      <c r="AI152">
        <v>1</v>
      </c>
      <c r="AJ152">
        <v>7.72</v>
      </c>
      <c r="AK152">
        <v>28.93</v>
      </c>
      <c r="AL152">
        <v>1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1.55</v>
      </c>
      <c r="AU152" t="s">
        <v>86</v>
      </c>
      <c r="AV152">
        <v>0</v>
      </c>
      <c r="AW152">
        <v>2</v>
      </c>
      <c r="AX152">
        <v>44578947</v>
      </c>
      <c r="AY152">
        <v>1</v>
      </c>
      <c r="AZ152">
        <v>0</v>
      </c>
      <c r="BA152">
        <v>157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Y152*Source!I188</f>
        <v>0.008556</v>
      </c>
      <c r="CY152">
        <f>AB152</f>
        <v>992.02</v>
      </c>
      <c r="CZ152">
        <f>AF152</f>
        <v>128.5</v>
      </c>
      <c r="DA152">
        <f>AJ152</f>
        <v>7.72</v>
      </c>
      <c r="DB152">
        <f t="shared" si="30"/>
        <v>274.87</v>
      </c>
      <c r="DC152">
        <f t="shared" si="31"/>
        <v>28.07</v>
      </c>
    </row>
    <row r="153" spans="1:107" ht="12.75">
      <c r="A153">
        <f>ROW(Source!A188)</f>
        <v>188</v>
      </c>
      <c r="B153">
        <v>44571020</v>
      </c>
      <c r="C153">
        <v>44578938</v>
      </c>
      <c r="D153">
        <v>13903845</v>
      </c>
      <c r="E153">
        <v>1</v>
      </c>
      <c r="F153">
        <v>1</v>
      </c>
      <c r="G153">
        <v>1</v>
      </c>
      <c r="H153">
        <v>2</v>
      </c>
      <c r="I153" t="s">
        <v>623</v>
      </c>
      <c r="J153" t="s">
        <v>624</v>
      </c>
      <c r="K153" t="s">
        <v>625</v>
      </c>
      <c r="L153">
        <v>1368</v>
      </c>
      <c r="N153">
        <v>1011</v>
      </c>
      <c r="O153" t="s">
        <v>453</v>
      </c>
      <c r="P153" t="s">
        <v>453</v>
      </c>
      <c r="Q153">
        <v>1</v>
      </c>
      <c r="W153">
        <v>0</v>
      </c>
      <c r="X153">
        <v>817583148</v>
      </c>
      <c r="Y153">
        <v>121.66079999999998</v>
      </c>
      <c r="AA153">
        <v>0</v>
      </c>
      <c r="AB153">
        <v>18.84</v>
      </c>
      <c r="AC153">
        <v>0</v>
      </c>
      <c r="AD153">
        <v>0</v>
      </c>
      <c r="AE153">
        <v>0</v>
      </c>
      <c r="AF153">
        <v>2.44</v>
      </c>
      <c r="AG153">
        <v>0</v>
      </c>
      <c r="AH153">
        <v>0</v>
      </c>
      <c r="AI153">
        <v>1</v>
      </c>
      <c r="AJ153">
        <v>7.72</v>
      </c>
      <c r="AK153">
        <v>28.93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88.16</v>
      </c>
      <c r="AU153" t="s">
        <v>86</v>
      </c>
      <c r="AV153">
        <v>0</v>
      </c>
      <c r="AW153">
        <v>2</v>
      </c>
      <c r="AX153">
        <v>44578948</v>
      </c>
      <c r="AY153">
        <v>1</v>
      </c>
      <c r="AZ153">
        <v>0</v>
      </c>
      <c r="BA153">
        <v>158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Y153*Source!I188</f>
        <v>0.48664319999999994</v>
      </c>
      <c r="CY153">
        <f>AB153</f>
        <v>18.84</v>
      </c>
      <c r="CZ153">
        <f>AF153</f>
        <v>2.44</v>
      </c>
      <c r="DA153">
        <f>AJ153</f>
        <v>7.72</v>
      </c>
      <c r="DB153">
        <f t="shared" si="30"/>
        <v>296.85</v>
      </c>
      <c r="DC153">
        <f t="shared" si="31"/>
        <v>0</v>
      </c>
    </row>
    <row r="154" spans="1:107" ht="12.75">
      <c r="A154">
        <f>ROW(Source!A189)</f>
        <v>189</v>
      </c>
      <c r="B154">
        <v>44571020</v>
      </c>
      <c r="C154">
        <v>44578949</v>
      </c>
      <c r="D154">
        <v>9914874</v>
      </c>
      <c r="E154">
        <v>1</v>
      </c>
      <c r="F154">
        <v>1</v>
      </c>
      <c r="G154">
        <v>1</v>
      </c>
      <c r="H154">
        <v>1</v>
      </c>
      <c r="I154" t="s">
        <v>443</v>
      </c>
      <c r="K154" t="s">
        <v>444</v>
      </c>
      <c r="L154">
        <v>1191</v>
      </c>
      <c r="N154">
        <v>1013</v>
      </c>
      <c r="O154" t="s">
        <v>445</v>
      </c>
      <c r="P154" t="s">
        <v>445</v>
      </c>
      <c r="Q154">
        <v>1</v>
      </c>
      <c r="W154">
        <v>0</v>
      </c>
      <c r="X154">
        <v>1617615494</v>
      </c>
      <c r="Y154">
        <v>18.243599999999997</v>
      </c>
      <c r="AA154">
        <v>0</v>
      </c>
      <c r="AB154">
        <v>0</v>
      </c>
      <c r="AC154">
        <v>0</v>
      </c>
      <c r="AD154">
        <v>219.29</v>
      </c>
      <c r="AE154">
        <v>0</v>
      </c>
      <c r="AF154">
        <v>0</v>
      </c>
      <c r="AG154">
        <v>0</v>
      </c>
      <c r="AH154">
        <v>7.58</v>
      </c>
      <c r="AI154">
        <v>1</v>
      </c>
      <c r="AJ154">
        <v>1</v>
      </c>
      <c r="AK154">
        <v>1</v>
      </c>
      <c r="AL154">
        <v>28.93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13.22</v>
      </c>
      <c r="AU154" t="s">
        <v>86</v>
      </c>
      <c r="AV154">
        <v>1</v>
      </c>
      <c r="AW154">
        <v>2</v>
      </c>
      <c r="AX154">
        <v>44578956</v>
      </c>
      <c r="AY154">
        <v>1</v>
      </c>
      <c r="AZ154">
        <v>0</v>
      </c>
      <c r="BA154">
        <v>159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Y154*Source!I189</f>
        <v>0.10946159999999998</v>
      </c>
      <c r="CY154">
        <f>AD154</f>
        <v>219.29</v>
      </c>
      <c r="CZ154">
        <f>AH154</f>
        <v>7.58</v>
      </c>
      <c r="DA154">
        <f>AL154</f>
        <v>28.93</v>
      </c>
      <c r="DB154">
        <f t="shared" si="30"/>
        <v>138.29</v>
      </c>
      <c r="DC154">
        <f t="shared" si="31"/>
        <v>0</v>
      </c>
    </row>
    <row r="155" spans="1:107" ht="12.75">
      <c r="A155">
        <f>ROW(Source!A189)</f>
        <v>189</v>
      </c>
      <c r="B155">
        <v>44571020</v>
      </c>
      <c r="C155">
        <v>44578949</v>
      </c>
      <c r="D155">
        <v>121548</v>
      </c>
      <c r="E155">
        <v>1</v>
      </c>
      <c r="F155">
        <v>1</v>
      </c>
      <c r="G155">
        <v>1</v>
      </c>
      <c r="H155">
        <v>1</v>
      </c>
      <c r="I155" t="s">
        <v>28</v>
      </c>
      <c r="K155" t="s">
        <v>446</v>
      </c>
      <c r="L155">
        <v>608254</v>
      </c>
      <c r="N155">
        <v>1013</v>
      </c>
      <c r="O155" t="s">
        <v>447</v>
      </c>
      <c r="P155" t="s">
        <v>447</v>
      </c>
      <c r="Q155">
        <v>1</v>
      </c>
      <c r="W155">
        <v>0</v>
      </c>
      <c r="X155">
        <v>-185737400</v>
      </c>
      <c r="Y155">
        <v>5.230199999999999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28.93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3.79</v>
      </c>
      <c r="AU155" t="s">
        <v>86</v>
      </c>
      <c r="AV155">
        <v>2</v>
      </c>
      <c r="AW155">
        <v>2</v>
      </c>
      <c r="AX155">
        <v>44578957</v>
      </c>
      <c r="AY155">
        <v>1</v>
      </c>
      <c r="AZ155">
        <v>0</v>
      </c>
      <c r="BA155">
        <v>160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Y155*Source!I189</f>
        <v>0.0313812</v>
      </c>
      <c r="CY155">
        <f>AD155</f>
        <v>0</v>
      </c>
      <c r="CZ155">
        <f>AH155</f>
        <v>0</v>
      </c>
      <c r="DA155">
        <f>AL155</f>
        <v>1</v>
      </c>
      <c r="DB155">
        <f t="shared" si="30"/>
        <v>0</v>
      </c>
      <c r="DC155">
        <f t="shared" si="31"/>
        <v>0</v>
      </c>
    </row>
    <row r="156" spans="1:107" ht="12.75">
      <c r="A156">
        <f>ROW(Source!A189)</f>
        <v>189</v>
      </c>
      <c r="B156">
        <v>44571020</v>
      </c>
      <c r="C156">
        <v>44578949</v>
      </c>
      <c r="D156">
        <v>13901684</v>
      </c>
      <c r="E156">
        <v>1</v>
      </c>
      <c r="F156">
        <v>1</v>
      </c>
      <c r="G156">
        <v>1</v>
      </c>
      <c r="H156">
        <v>2</v>
      </c>
      <c r="I156" t="s">
        <v>626</v>
      </c>
      <c r="J156" t="s">
        <v>627</v>
      </c>
      <c r="K156" t="s">
        <v>628</v>
      </c>
      <c r="L156">
        <v>1368</v>
      </c>
      <c r="N156">
        <v>1011</v>
      </c>
      <c r="O156" t="s">
        <v>453</v>
      </c>
      <c r="P156" t="s">
        <v>453</v>
      </c>
      <c r="Q156">
        <v>1</v>
      </c>
      <c r="W156">
        <v>0</v>
      </c>
      <c r="X156">
        <v>1780196791</v>
      </c>
      <c r="Y156">
        <v>1.9181999999999997</v>
      </c>
      <c r="AA156">
        <v>0</v>
      </c>
      <c r="AB156">
        <v>613.59</v>
      </c>
      <c r="AC156">
        <v>379.56</v>
      </c>
      <c r="AD156">
        <v>0</v>
      </c>
      <c r="AE156">
        <v>0</v>
      </c>
      <c r="AF156">
        <v>79.48</v>
      </c>
      <c r="AG156">
        <v>13.12</v>
      </c>
      <c r="AH156">
        <v>0</v>
      </c>
      <c r="AI156">
        <v>1</v>
      </c>
      <c r="AJ156">
        <v>7.72</v>
      </c>
      <c r="AK156">
        <v>28.93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1.39</v>
      </c>
      <c r="AU156" t="s">
        <v>86</v>
      </c>
      <c r="AV156">
        <v>0</v>
      </c>
      <c r="AW156">
        <v>2</v>
      </c>
      <c r="AX156">
        <v>44578958</v>
      </c>
      <c r="AY156">
        <v>1</v>
      </c>
      <c r="AZ156">
        <v>0</v>
      </c>
      <c r="BA156">
        <v>161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Y156*Source!I189</f>
        <v>0.011509199999999999</v>
      </c>
      <c r="CY156">
        <f>AB156</f>
        <v>613.59</v>
      </c>
      <c r="CZ156">
        <f>AF156</f>
        <v>79.48</v>
      </c>
      <c r="DA156">
        <f>AJ156</f>
        <v>7.72</v>
      </c>
      <c r="DB156">
        <f t="shared" si="30"/>
        <v>152.46</v>
      </c>
      <c r="DC156">
        <f t="shared" si="31"/>
        <v>25.17</v>
      </c>
    </row>
    <row r="157" spans="1:107" ht="12.75">
      <c r="A157">
        <f>ROW(Source!A189)</f>
        <v>189</v>
      </c>
      <c r="B157">
        <v>44571020</v>
      </c>
      <c r="C157">
        <v>44578949</v>
      </c>
      <c r="D157">
        <v>13902323</v>
      </c>
      <c r="E157">
        <v>1</v>
      </c>
      <c r="F157">
        <v>1</v>
      </c>
      <c r="G157">
        <v>1</v>
      </c>
      <c r="H157">
        <v>2</v>
      </c>
      <c r="I157" t="s">
        <v>629</v>
      </c>
      <c r="J157" t="s">
        <v>630</v>
      </c>
      <c r="K157" t="s">
        <v>631</v>
      </c>
      <c r="L157">
        <v>1368</v>
      </c>
      <c r="N157">
        <v>1011</v>
      </c>
      <c r="O157" t="s">
        <v>453</v>
      </c>
      <c r="P157" t="s">
        <v>453</v>
      </c>
      <c r="Q157">
        <v>1</v>
      </c>
      <c r="W157">
        <v>0</v>
      </c>
      <c r="X157">
        <v>-1146711262</v>
      </c>
      <c r="Y157">
        <v>1.9181999999999997</v>
      </c>
      <c r="AA157">
        <v>0</v>
      </c>
      <c r="AB157">
        <v>92.25</v>
      </c>
      <c r="AC157">
        <v>0</v>
      </c>
      <c r="AD157">
        <v>0</v>
      </c>
      <c r="AE157">
        <v>0</v>
      </c>
      <c r="AF157">
        <v>11.95</v>
      </c>
      <c r="AG157">
        <v>0</v>
      </c>
      <c r="AH157">
        <v>0</v>
      </c>
      <c r="AI157">
        <v>1</v>
      </c>
      <c r="AJ157">
        <v>7.72</v>
      </c>
      <c r="AK157">
        <v>28.93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1.39</v>
      </c>
      <c r="AU157" t="s">
        <v>86</v>
      </c>
      <c r="AV157">
        <v>0</v>
      </c>
      <c r="AW157">
        <v>2</v>
      </c>
      <c r="AX157">
        <v>44578959</v>
      </c>
      <c r="AY157">
        <v>1</v>
      </c>
      <c r="AZ157">
        <v>0</v>
      </c>
      <c r="BA157">
        <v>162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Y157*Source!I189</f>
        <v>0.011509199999999999</v>
      </c>
      <c r="CY157">
        <f>AB157</f>
        <v>92.25</v>
      </c>
      <c r="CZ157">
        <f>AF157</f>
        <v>11.95</v>
      </c>
      <c r="DA157">
        <f>AJ157</f>
        <v>7.72</v>
      </c>
      <c r="DB157">
        <f t="shared" si="30"/>
        <v>22.92</v>
      </c>
      <c r="DC157">
        <f t="shared" si="31"/>
        <v>0</v>
      </c>
    </row>
    <row r="158" spans="1:107" ht="12.75">
      <c r="A158">
        <f>ROW(Source!A189)</f>
        <v>189</v>
      </c>
      <c r="B158">
        <v>44571020</v>
      </c>
      <c r="C158">
        <v>44578949</v>
      </c>
      <c r="D158">
        <v>13902478</v>
      </c>
      <c r="E158">
        <v>1</v>
      </c>
      <c r="F158">
        <v>1</v>
      </c>
      <c r="G158">
        <v>1</v>
      </c>
      <c r="H158">
        <v>2</v>
      </c>
      <c r="I158" t="s">
        <v>620</v>
      </c>
      <c r="J158" t="s">
        <v>621</v>
      </c>
      <c r="K158" t="s">
        <v>622</v>
      </c>
      <c r="L158">
        <v>1368</v>
      </c>
      <c r="N158">
        <v>1011</v>
      </c>
      <c r="O158" t="s">
        <v>453</v>
      </c>
      <c r="P158" t="s">
        <v>453</v>
      </c>
      <c r="Q158">
        <v>1</v>
      </c>
      <c r="W158">
        <v>0</v>
      </c>
      <c r="X158">
        <v>-1121905244</v>
      </c>
      <c r="Y158">
        <v>2.6771999999999996</v>
      </c>
      <c r="AA158">
        <v>0</v>
      </c>
      <c r="AB158">
        <v>992.02</v>
      </c>
      <c r="AC158">
        <v>379.56</v>
      </c>
      <c r="AD158">
        <v>0</v>
      </c>
      <c r="AE158">
        <v>0</v>
      </c>
      <c r="AF158">
        <v>128.5</v>
      </c>
      <c r="AG158">
        <v>13.12</v>
      </c>
      <c r="AH158">
        <v>0</v>
      </c>
      <c r="AI158">
        <v>1</v>
      </c>
      <c r="AJ158">
        <v>7.72</v>
      </c>
      <c r="AK158">
        <v>28.93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1.94</v>
      </c>
      <c r="AU158" t="s">
        <v>86</v>
      </c>
      <c r="AV158">
        <v>0</v>
      </c>
      <c r="AW158">
        <v>2</v>
      </c>
      <c r="AX158">
        <v>44578960</v>
      </c>
      <c r="AY158">
        <v>1</v>
      </c>
      <c r="AZ158">
        <v>0</v>
      </c>
      <c r="BA158">
        <v>163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Y158*Source!I189</f>
        <v>0.016063199999999996</v>
      </c>
      <c r="CY158">
        <f>AB158</f>
        <v>992.02</v>
      </c>
      <c r="CZ158">
        <f>AF158</f>
        <v>128.5</v>
      </c>
      <c r="DA158">
        <f>AJ158</f>
        <v>7.72</v>
      </c>
      <c r="DB158">
        <f t="shared" si="30"/>
        <v>344.02</v>
      </c>
      <c r="DC158">
        <f t="shared" si="31"/>
        <v>35.12</v>
      </c>
    </row>
    <row r="159" spans="1:107" ht="12.75">
      <c r="A159">
        <f>ROW(Source!A189)</f>
        <v>189</v>
      </c>
      <c r="B159">
        <v>44571020</v>
      </c>
      <c r="C159">
        <v>44578949</v>
      </c>
      <c r="D159">
        <v>13902589</v>
      </c>
      <c r="E159">
        <v>1</v>
      </c>
      <c r="F159">
        <v>1</v>
      </c>
      <c r="G159">
        <v>1</v>
      </c>
      <c r="H159">
        <v>2</v>
      </c>
      <c r="I159" t="s">
        <v>589</v>
      </c>
      <c r="J159" t="s">
        <v>590</v>
      </c>
      <c r="K159" t="s">
        <v>591</v>
      </c>
      <c r="L159">
        <v>1368</v>
      </c>
      <c r="N159">
        <v>1011</v>
      </c>
      <c r="O159" t="s">
        <v>453</v>
      </c>
      <c r="P159" t="s">
        <v>453</v>
      </c>
      <c r="Q159">
        <v>1</v>
      </c>
      <c r="W159">
        <v>0</v>
      </c>
      <c r="X159">
        <v>-249495239</v>
      </c>
      <c r="Y159">
        <v>0.6348</v>
      </c>
      <c r="AA159">
        <v>0</v>
      </c>
      <c r="AB159">
        <v>1040.58</v>
      </c>
      <c r="AC159">
        <v>326.33</v>
      </c>
      <c r="AD159">
        <v>0</v>
      </c>
      <c r="AE159">
        <v>0</v>
      </c>
      <c r="AF159">
        <v>134.79</v>
      </c>
      <c r="AG159">
        <v>11.28</v>
      </c>
      <c r="AH159">
        <v>0</v>
      </c>
      <c r="AI159">
        <v>1</v>
      </c>
      <c r="AJ159">
        <v>7.72</v>
      </c>
      <c r="AK159">
        <v>28.93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0.46</v>
      </c>
      <c r="AU159" t="s">
        <v>86</v>
      </c>
      <c r="AV159">
        <v>0</v>
      </c>
      <c r="AW159">
        <v>2</v>
      </c>
      <c r="AX159">
        <v>44578961</v>
      </c>
      <c r="AY159">
        <v>1</v>
      </c>
      <c r="AZ159">
        <v>0</v>
      </c>
      <c r="BA159">
        <v>164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Y159*Source!I189</f>
        <v>0.0038088</v>
      </c>
      <c r="CY159">
        <f>AB159</f>
        <v>1040.58</v>
      </c>
      <c r="CZ159">
        <f>AF159</f>
        <v>134.79</v>
      </c>
      <c r="DA159">
        <f>AJ159</f>
        <v>7.72</v>
      </c>
      <c r="DB159">
        <f t="shared" si="30"/>
        <v>85.56</v>
      </c>
      <c r="DC159">
        <f t="shared" si="31"/>
        <v>7.16</v>
      </c>
    </row>
    <row r="160" spans="1:107" ht="12.75">
      <c r="A160">
        <f>ROW(Source!A190)</f>
        <v>190</v>
      </c>
      <c r="B160">
        <v>44571020</v>
      </c>
      <c r="C160">
        <v>44578962</v>
      </c>
      <c r="D160">
        <v>10019317</v>
      </c>
      <c r="E160">
        <v>1</v>
      </c>
      <c r="F160">
        <v>1</v>
      </c>
      <c r="G160">
        <v>1</v>
      </c>
      <c r="H160">
        <v>1</v>
      </c>
      <c r="I160" t="s">
        <v>632</v>
      </c>
      <c r="K160" t="s">
        <v>633</v>
      </c>
      <c r="L160">
        <v>1476</v>
      </c>
      <c r="N160">
        <v>1013</v>
      </c>
      <c r="O160" t="s">
        <v>634</v>
      </c>
      <c r="P160" t="s">
        <v>635</v>
      </c>
      <c r="Q160">
        <v>1</v>
      </c>
      <c r="W160">
        <v>0</v>
      </c>
      <c r="X160">
        <v>518458013</v>
      </c>
      <c r="Y160">
        <v>0.5777</v>
      </c>
      <c r="AA160">
        <v>0</v>
      </c>
      <c r="AB160">
        <v>0</v>
      </c>
      <c r="AC160">
        <v>0</v>
      </c>
      <c r="AD160">
        <v>202.22</v>
      </c>
      <c r="AE160">
        <v>0</v>
      </c>
      <c r="AF160">
        <v>0</v>
      </c>
      <c r="AG160">
        <v>0</v>
      </c>
      <c r="AH160">
        <v>6.99</v>
      </c>
      <c r="AI160">
        <v>1</v>
      </c>
      <c r="AJ160">
        <v>1</v>
      </c>
      <c r="AK160">
        <v>1</v>
      </c>
      <c r="AL160">
        <v>28.93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0.5777</v>
      </c>
      <c r="AV160">
        <v>1</v>
      </c>
      <c r="AW160">
        <v>2</v>
      </c>
      <c r="AX160">
        <v>44578966</v>
      </c>
      <c r="AY160">
        <v>1</v>
      </c>
      <c r="AZ160">
        <v>0</v>
      </c>
      <c r="BA160">
        <v>165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Y160*Source!I190</f>
        <v>1.03986</v>
      </c>
      <c r="CY160">
        <f>AD160</f>
        <v>202.22</v>
      </c>
      <c r="CZ160">
        <f>AH160</f>
        <v>6.99</v>
      </c>
      <c r="DA160">
        <f>AL160</f>
        <v>28.93</v>
      </c>
      <c r="DB160">
        <f>ROUND(ROUND(AT160*CZ160,2),2)</f>
        <v>4.04</v>
      </c>
      <c r="DC160">
        <f>ROUND(ROUND(AT160*AG160,2),2)</f>
        <v>0</v>
      </c>
    </row>
    <row r="161" spans="1:107" ht="12.75">
      <c r="A161">
        <f>ROW(Source!A190)</f>
        <v>190</v>
      </c>
      <c r="B161">
        <v>44571020</v>
      </c>
      <c r="C161">
        <v>44578962</v>
      </c>
      <c r="D161">
        <v>121548</v>
      </c>
      <c r="E161">
        <v>1</v>
      </c>
      <c r="F161">
        <v>1</v>
      </c>
      <c r="G161">
        <v>1</v>
      </c>
      <c r="H161">
        <v>1</v>
      </c>
      <c r="I161" t="s">
        <v>28</v>
      </c>
      <c r="K161" t="s">
        <v>446</v>
      </c>
      <c r="L161">
        <v>608254</v>
      </c>
      <c r="N161">
        <v>1013</v>
      </c>
      <c r="O161" t="s">
        <v>447</v>
      </c>
      <c r="P161" t="s">
        <v>447</v>
      </c>
      <c r="Q161">
        <v>1</v>
      </c>
      <c r="W161">
        <v>0</v>
      </c>
      <c r="X161">
        <v>-185737400</v>
      </c>
      <c r="Y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28.93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0</v>
      </c>
      <c r="AV161">
        <v>2</v>
      </c>
      <c r="AW161">
        <v>2</v>
      </c>
      <c r="AX161">
        <v>44578967</v>
      </c>
      <c r="AY161">
        <v>1</v>
      </c>
      <c r="AZ161">
        <v>0</v>
      </c>
      <c r="BA161">
        <v>166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Y161*Source!I190</f>
        <v>0</v>
      </c>
      <c r="CY161">
        <f>AD161</f>
        <v>0</v>
      </c>
      <c r="CZ161">
        <f>AH161</f>
        <v>0</v>
      </c>
      <c r="DA161">
        <f>AL161</f>
        <v>1</v>
      </c>
      <c r="DB161">
        <f>ROUND(ROUND(AT161*CZ161,2),2)</f>
        <v>0</v>
      </c>
      <c r="DC161">
        <f>ROUND(ROUND(AT161*AG161,2),2)</f>
        <v>0</v>
      </c>
    </row>
    <row r="162" spans="1:107" ht="12.75">
      <c r="A162">
        <f>ROW(Source!A190)</f>
        <v>190</v>
      </c>
      <c r="B162">
        <v>44571020</v>
      </c>
      <c r="C162">
        <v>44578962</v>
      </c>
      <c r="D162">
        <v>13904234</v>
      </c>
      <c r="E162">
        <v>1</v>
      </c>
      <c r="F162">
        <v>1</v>
      </c>
      <c r="G162">
        <v>1</v>
      </c>
      <c r="H162">
        <v>2</v>
      </c>
      <c r="I162" t="s">
        <v>606</v>
      </c>
      <c r="J162" t="s">
        <v>607</v>
      </c>
      <c r="K162" t="s">
        <v>608</v>
      </c>
      <c r="L162">
        <v>1368</v>
      </c>
      <c r="N162">
        <v>1011</v>
      </c>
      <c r="O162" t="s">
        <v>453</v>
      </c>
      <c r="P162" t="s">
        <v>453</v>
      </c>
      <c r="Q162">
        <v>1</v>
      </c>
      <c r="W162">
        <v>0</v>
      </c>
      <c r="X162">
        <v>250019253</v>
      </c>
      <c r="Y162">
        <v>0.29</v>
      </c>
      <c r="AA162">
        <v>0</v>
      </c>
      <c r="AB162">
        <v>854.45</v>
      </c>
      <c r="AC162">
        <v>0</v>
      </c>
      <c r="AD162">
        <v>0</v>
      </c>
      <c r="AE162">
        <v>0</v>
      </c>
      <c r="AF162">
        <v>110.68</v>
      </c>
      <c r="AG162">
        <v>0</v>
      </c>
      <c r="AH162">
        <v>0</v>
      </c>
      <c r="AI162">
        <v>1</v>
      </c>
      <c r="AJ162">
        <v>7.72</v>
      </c>
      <c r="AK162">
        <v>28.93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0.29</v>
      </c>
      <c r="AV162">
        <v>0</v>
      </c>
      <c r="AW162">
        <v>2</v>
      </c>
      <c r="AX162">
        <v>44578968</v>
      </c>
      <c r="AY162">
        <v>1</v>
      </c>
      <c r="AZ162">
        <v>0</v>
      </c>
      <c r="BA162">
        <v>167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Y162*Source!I190</f>
        <v>0.522</v>
      </c>
      <c r="CY162">
        <f>AB162</f>
        <v>854.45</v>
      </c>
      <c r="CZ162">
        <f>AF162</f>
        <v>110.68</v>
      </c>
      <c r="DA162">
        <f>AJ162</f>
        <v>7.72</v>
      </c>
      <c r="DB162">
        <f>ROUND(ROUND(AT162*CZ162,2),2)</f>
        <v>32.1</v>
      </c>
      <c r="DC162">
        <f>ROUND(ROUND(AT162*AG162,2),2)</f>
        <v>0</v>
      </c>
    </row>
    <row r="163" spans="1:107" ht="12.75">
      <c r="A163">
        <f>ROW(Source!A192)</f>
        <v>192</v>
      </c>
      <c r="B163">
        <v>44571020</v>
      </c>
      <c r="C163">
        <v>44578970</v>
      </c>
      <c r="D163">
        <v>9915124</v>
      </c>
      <c r="E163">
        <v>1</v>
      </c>
      <c r="F163">
        <v>1</v>
      </c>
      <c r="G163">
        <v>1</v>
      </c>
      <c r="H163">
        <v>1</v>
      </c>
      <c r="I163" t="s">
        <v>636</v>
      </c>
      <c r="K163" t="s">
        <v>637</v>
      </c>
      <c r="L163">
        <v>1191</v>
      </c>
      <c r="N163">
        <v>1013</v>
      </c>
      <c r="O163" t="s">
        <v>445</v>
      </c>
      <c r="P163" t="s">
        <v>445</v>
      </c>
      <c r="Q163">
        <v>1</v>
      </c>
      <c r="W163">
        <v>0</v>
      </c>
      <c r="X163">
        <v>-1192177210</v>
      </c>
      <c r="Y163">
        <v>51.004799999999996</v>
      </c>
      <c r="AA163">
        <v>0</v>
      </c>
      <c r="AB163">
        <v>0</v>
      </c>
      <c r="AC163">
        <v>0</v>
      </c>
      <c r="AD163">
        <v>229.7</v>
      </c>
      <c r="AE163">
        <v>0</v>
      </c>
      <c r="AF163">
        <v>0</v>
      </c>
      <c r="AG163">
        <v>0</v>
      </c>
      <c r="AH163">
        <v>7.94</v>
      </c>
      <c r="AI163">
        <v>1</v>
      </c>
      <c r="AJ163">
        <v>1</v>
      </c>
      <c r="AK163">
        <v>1</v>
      </c>
      <c r="AL163">
        <v>28.93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36.96</v>
      </c>
      <c r="AU163" t="s">
        <v>86</v>
      </c>
      <c r="AV163">
        <v>1</v>
      </c>
      <c r="AW163">
        <v>2</v>
      </c>
      <c r="AX163">
        <v>44578983</v>
      </c>
      <c r="AY163">
        <v>1</v>
      </c>
      <c r="AZ163">
        <v>0</v>
      </c>
      <c r="BA163">
        <v>168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Y163*Source!I192</f>
        <v>0.23462207999999998</v>
      </c>
      <c r="CY163">
        <f>AD163</f>
        <v>229.7</v>
      </c>
      <c r="CZ163">
        <f>AH163</f>
        <v>7.94</v>
      </c>
      <c r="DA163">
        <f>AL163</f>
        <v>28.93</v>
      </c>
      <c r="DB163">
        <f aca="true" t="shared" si="32" ref="DB163:DB171">ROUND((ROUND(AT163*CZ163,2)*ROUND((1.15*1.2),7)),2)</f>
        <v>404.97</v>
      </c>
      <c r="DC163">
        <f aca="true" t="shared" si="33" ref="DC163:DC171">ROUND((ROUND(AT163*AG163,2)*ROUND((1.15*1.2),7)),2)</f>
        <v>0</v>
      </c>
    </row>
    <row r="164" spans="1:107" ht="12.75">
      <c r="A164">
        <f>ROW(Source!A192)</f>
        <v>192</v>
      </c>
      <c r="B164">
        <v>44571020</v>
      </c>
      <c r="C164">
        <v>44578970</v>
      </c>
      <c r="D164">
        <v>121548</v>
      </c>
      <c r="E164">
        <v>1</v>
      </c>
      <c r="F164">
        <v>1</v>
      </c>
      <c r="G164">
        <v>1</v>
      </c>
      <c r="H164">
        <v>1</v>
      </c>
      <c r="I164" t="s">
        <v>28</v>
      </c>
      <c r="K164" t="s">
        <v>446</v>
      </c>
      <c r="L164">
        <v>608254</v>
      </c>
      <c r="N164">
        <v>1013</v>
      </c>
      <c r="O164" t="s">
        <v>447</v>
      </c>
      <c r="P164" t="s">
        <v>447</v>
      </c>
      <c r="Q164">
        <v>1</v>
      </c>
      <c r="W164">
        <v>0</v>
      </c>
      <c r="X164">
        <v>-185737400</v>
      </c>
      <c r="Y164">
        <v>50.0112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28.93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36.24</v>
      </c>
      <c r="AU164" t="s">
        <v>86</v>
      </c>
      <c r="AV164">
        <v>2</v>
      </c>
      <c r="AW164">
        <v>2</v>
      </c>
      <c r="AX164">
        <v>44578984</v>
      </c>
      <c r="AY164">
        <v>1</v>
      </c>
      <c r="AZ164">
        <v>0</v>
      </c>
      <c r="BA164">
        <v>169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Y164*Source!I192</f>
        <v>0.23005152</v>
      </c>
      <c r="CY164">
        <f>AD164</f>
        <v>0</v>
      </c>
      <c r="CZ164">
        <f>AH164</f>
        <v>0</v>
      </c>
      <c r="DA164">
        <f>AL164</f>
        <v>1</v>
      </c>
      <c r="DB164">
        <f t="shared" si="32"/>
        <v>0</v>
      </c>
      <c r="DC164">
        <f t="shared" si="33"/>
        <v>0</v>
      </c>
    </row>
    <row r="165" spans="1:107" ht="12.75">
      <c r="A165">
        <f>ROW(Source!A192)</f>
        <v>192</v>
      </c>
      <c r="B165">
        <v>44571020</v>
      </c>
      <c r="C165">
        <v>44578970</v>
      </c>
      <c r="D165">
        <v>13901881</v>
      </c>
      <c r="E165">
        <v>1</v>
      </c>
      <c r="F165">
        <v>1</v>
      </c>
      <c r="G165">
        <v>1</v>
      </c>
      <c r="H165">
        <v>2</v>
      </c>
      <c r="I165" t="s">
        <v>638</v>
      </c>
      <c r="J165" t="s">
        <v>639</v>
      </c>
      <c r="K165" t="s">
        <v>640</v>
      </c>
      <c r="L165">
        <v>1368</v>
      </c>
      <c r="N165">
        <v>1011</v>
      </c>
      <c r="O165" t="s">
        <v>453</v>
      </c>
      <c r="P165" t="s">
        <v>453</v>
      </c>
      <c r="Q165">
        <v>1</v>
      </c>
      <c r="W165">
        <v>0</v>
      </c>
      <c r="X165">
        <v>-1910634522</v>
      </c>
      <c r="Y165">
        <v>5.4924</v>
      </c>
      <c r="AA165">
        <v>0</v>
      </c>
      <c r="AB165">
        <v>837</v>
      </c>
      <c r="AC165">
        <v>282.94</v>
      </c>
      <c r="AD165">
        <v>0</v>
      </c>
      <c r="AE165">
        <v>0</v>
      </c>
      <c r="AF165">
        <v>108.42</v>
      </c>
      <c r="AG165">
        <v>9.78</v>
      </c>
      <c r="AH165">
        <v>0</v>
      </c>
      <c r="AI165">
        <v>1</v>
      </c>
      <c r="AJ165">
        <v>7.72</v>
      </c>
      <c r="AK165">
        <v>28.93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3.98</v>
      </c>
      <c r="AU165" t="s">
        <v>86</v>
      </c>
      <c r="AV165">
        <v>0</v>
      </c>
      <c r="AW165">
        <v>2</v>
      </c>
      <c r="AX165">
        <v>44578985</v>
      </c>
      <c r="AY165">
        <v>1</v>
      </c>
      <c r="AZ165">
        <v>0</v>
      </c>
      <c r="BA165">
        <v>170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Y165*Source!I192</f>
        <v>0.02526504</v>
      </c>
      <c r="CY165">
        <f aca="true" t="shared" si="34" ref="CY165:CY171">AB165</f>
        <v>837</v>
      </c>
      <c r="CZ165">
        <f aca="true" t="shared" si="35" ref="CZ165:CZ171">AF165</f>
        <v>108.42</v>
      </c>
      <c r="DA165">
        <f aca="true" t="shared" si="36" ref="DA165:DA171">AJ165</f>
        <v>7.72</v>
      </c>
      <c r="DB165">
        <f t="shared" si="32"/>
        <v>595.48</v>
      </c>
      <c r="DC165">
        <f t="shared" si="33"/>
        <v>53.71</v>
      </c>
    </row>
    <row r="166" spans="1:107" ht="12.75">
      <c r="A166">
        <f>ROW(Source!A192)</f>
        <v>192</v>
      </c>
      <c r="B166">
        <v>44571020</v>
      </c>
      <c r="C166">
        <v>44578970</v>
      </c>
      <c r="D166">
        <v>13902217</v>
      </c>
      <c r="E166">
        <v>1</v>
      </c>
      <c r="F166">
        <v>1</v>
      </c>
      <c r="G166">
        <v>1</v>
      </c>
      <c r="H166">
        <v>2</v>
      </c>
      <c r="I166" t="s">
        <v>641</v>
      </c>
      <c r="J166" t="s">
        <v>642</v>
      </c>
      <c r="K166" t="s">
        <v>643</v>
      </c>
      <c r="L166">
        <v>1368</v>
      </c>
      <c r="N166">
        <v>1011</v>
      </c>
      <c r="O166" t="s">
        <v>453</v>
      </c>
      <c r="P166" t="s">
        <v>453</v>
      </c>
      <c r="Q166">
        <v>1</v>
      </c>
      <c r="W166">
        <v>0</v>
      </c>
      <c r="X166">
        <v>-884784342</v>
      </c>
      <c r="Y166">
        <v>3.5741999999999994</v>
      </c>
      <c r="AA166">
        <v>0</v>
      </c>
      <c r="AB166">
        <v>650.56</v>
      </c>
      <c r="AC166">
        <v>379.56</v>
      </c>
      <c r="AD166">
        <v>0</v>
      </c>
      <c r="AE166">
        <v>0</v>
      </c>
      <c r="AF166">
        <v>84.27</v>
      </c>
      <c r="AG166">
        <v>13.12</v>
      </c>
      <c r="AH166">
        <v>0</v>
      </c>
      <c r="AI166">
        <v>1</v>
      </c>
      <c r="AJ166">
        <v>7.72</v>
      </c>
      <c r="AK166">
        <v>28.93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2.59</v>
      </c>
      <c r="AU166" t="s">
        <v>86</v>
      </c>
      <c r="AV166">
        <v>0</v>
      </c>
      <c r="AW166">
        <v>2</v>
      </c>
      <c r="AX166">
        <v>44578986</v>
      </c>
      <c r="AY166">
        <v>1</v>
      </c>
      <c r="AZ166">
        <v>0</v>
      </c>
      <c r="BA166">
        <v>171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Y166*Source!I192</f>
        <v>0.016441319999999995</v>
      </c>
      <c r="CY166">
        <f t="shared" si="34"/>
        <v>650.56</v>
      </c>
      <c r="CZ166">
        <f t="shared" si="35"/>
        <v>84.27</v>
      </c>
      <c r="DA166">
        <f t="shared" si="36"/>
        <v>7.72</v>
      </c>
      <c r="DB166">
        <f t="shared" si="32"/>
        <v>301.2</v>
      </c>
      <c r="DC166">
        <f t="shared" si="33"/>
        <v>46.89</v>
      </c>
    </row>
    <row r="167" spans="1:107" ht="12.75">
      <c r="A167">
        <f>ROW(Source!A192)</f>
        <v>192</v>
      </c>
      <c r="B167">
        <v>44571020</v>
      </c>
      <c r="C167">
        <v>44578970</v>
      </c>
      <c r="D167">
        <v>13902478</v>
      </c>
      <c r="E167">
        <v>1</v>
      </c>
      <c r="F167">
        <v>1</v>
      </c>
      <c r="G167">
        <v>1</v>
      </c>
      <c r="H167">
        <v>2</v>
      </c>
      <c r="I167" t="s">
        <v>620</v>
      </c>
      <c r="J167" t="s">
        <v>621</v>
      </c>
      <c r="K167" t="s">
        <v>622</v>
      </c>
      <c r="L167">
        <v>1368</v>
      </c>
      <c r="N167">
        <v>1011</v>
      </c>
      <c r="O167" t="s">
        <v>453</v>
      </c>
      <c r="P167" t="s">
        <v>453</v>
      </c>
      <c r="Q167">
        <v>1</v>
      </c>
      <c r="W167">
        <v>0</v>
      </c>
      <c r="X167">
        <v>-1121905244</v>
      </c>
      <c r="Y167">
        <v>0.5657999999999999</v>
      </c>
      <c r="AA167">
        <v>0</v>
      </c>
      <c r="AB167">
        <v>992.02</v>
      </c>
      <c r="AC167">
        <v>379.56</v>
      </c>
      <c r="AD167">
        <v>0</v>
      </c>
      <c r="AE167">
        <v>0</v>
      </c>
      <c r="AF167">
        <v>128.5</v>
      </c>
      <c r="AG167">
        <v>13.12</v>
      </c>
      <c r="AH167">
        <v>0</v>
      </c>
      <c r="AI167">
        <v>1</v>
      </c>
      <c r="AJ167">
        <v>7.72</v>
      </c>
      <c r="AK167">
        <v>28.93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0.41</v>
      </c>
      <c r="AU167" t="s">
        <v>86</v>
      </c>
      <c r="AV167">
        <v>0</v>
      </c>
      <c r="AW167">
        <v>2</v>
      </c>
      <c r="AX167">
        <v>44578987</v>
      </c>
      <c r="AY167">
        <v>1</v>
      </c>
      <c r="AZ167">
        <v>0</v>
      </c>
      <c r="BA167">
        <v>172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Y167*Source!I192</f>
        <v>0.002602679999999999</v>
      </c>
      <c r="CY167">
        <f t="shared" si="34"/>
        <v>992.02</v>
      </c>
      <c r="CZ167">
        <f t="shared" si="35"/>
        <v>128.5</v>
      </c>
      <c r="DA167">
        <f t="shared" si="36"/>
        <v>7.72</v>
      </c>
      <c r="DB167">
        <f t="shared" si="32"/>
        <v>72.71</v>
      </c>
      <c r="DC167">
        <f t="shared" si="33"/>
        <v>7.42</v>
      </c>
    </row>
    <row r="168" spans="1:107" ht="12.75">
      <c r="A168">
        <f>ROW(Source!A192)</f>
        <v>192</v>
      </c>
      <c r="B168">
        <v>44571020</v>
      </c>
      <c r="C168">
        <v>44578970</v>
      </c>
      <c r="D168">
        <v>13902508</v>
      </c>
      <c r="E168">
        <v>1</v>
      </c>
      <c r="F168">
        <v>1</v>
      </c>
      <c r="G168">
        <v>1</v>
      </c>
      <c r="H168">
        <v>2</v>
      </c>
      <c r="I168" t="s">
        <v>644</v>
      </c>
      <c r="J168" t="s">
        <v>645</v>
      </c>
      <c r="K168" t="s">
        <v>646</v>
      </c>
      <c r="L168">
        <v>1368</v>
      </c>
      <c r="N168">
        <v>1011</v>
      </c>
      <c r="O168" t="s">
        <v>453</v>
      </c>
      <c r="P168" t="s">
        <v>453</v>
      </c>
      <c r="Q168">
        <v>1</v>
      </c>
      <c r="W168">
        <v>0</v>
      </c>
      <c r="X168">
        <v>-1878399779</v>
      </c>
      <c r="Y168">
        <v>10.8606</v>
      </c>
      <c r="AA168">
        <v>0</v>
      </c>
      <c r="AB168">
        <v>646.09</v>
      </c>
      <c r="AC168">
        <v>326.33</v>
      </c>
      <c r="AD168">
        <v>0</v>
      </c>
      <c r="AE168">
        <v>0</v>
      </c>
      <c r="AF168">
        <v>83.69</v>
      </c>
      <c r="AG168">
        <v>11.28</v>
      </c>
      <c r="AH168">
        <v>0</v>
      </c>
      <c r="AI168">
        <v>1</v>
      </c>
      <c r="AJ168">
        <v>7.72</v>
      </c>
      <c r="AK168">
        <v>28.93</v>
      </c>
      <c r="AL168">
        <v>1</v>
      </c>
      <c r="AN168">
        <v>0</v>
      </c>
      <c r="AO168">
        <v>1</v>
      </c>
      <c r="AP168">
        <v>1</v>
      </c>
      <c r="AQ168">
        <v>0</v>
      </c>
      <c r="AR168">
        <v>0</v>
      </c>
      <c r="AT168">
        <v>7.87</v>
      </c>
      <c r="AU168" t="s">
        <v>86</v>
      </c>
      <c r="AV168">
        <v>0</v>
      </c>
      <c r="AW168">
        <v>2</v>
      </c>
      <c r="AX168">
        <v>44578988</v>
      </c>
      <c r="AY168">
        <v>1</v>
      </c>
      <c r="AZ168">
        <v>0</v>
      </c>
      <c r="BA168">
        <v>173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Y168*Source!I192</f>
        <v>0.04995876</v>
      </c>
      <c r="CY168">
        <f t="shared" si="34"/>
        <v>646.09</v>
      </c>
      <c r="CZ168">
        <f t="shared" si="35"/>
        <v>83.69</v>
      </c>
      <c r="DA168">
        <f t="shared" si="36"/>
        <v>7.72</v>
      </c>
      <c r="DB168">
        <f t="shared" si="32"/>
        <v>908.92</v>
      </c>
      <c r="DC168">
        <f t="shared" si="33"/>
        <v>122.5</v>
      </c>
    </row>
    <row r="169" spans="1:107" ht="12.75">
      <c r="A169">
        <f>ROW(Source!A192)</f>
        <v>192</v>
      </c>
      <c r="B169">
        <v>44571020</v>
      </c>
      <c r="C169">
        <v>44578970</v>
      </c>
      <c r="D169">
        <v>13902509</v>
      </c>
      <c r="E169">
        <v>1</v>
      </c>
      <c r="F169">
        <v>1</v>
      </c>
      <c r="G169">
        <v>1</v>
      </c>
      <c r="H169">
        <v>2</v>
      </c>
      <c r="I169" t="s">
        <v>647</v>
      </c>
      <c r="J169" t="s">
        <v>648</v>
      </c>
      <c r="K169" t="s">
        <v>649</v>
      </c>
      <c r="L169">
        <v>1368</v>
      </c>
      <c r="N169">
        <v>1011</v>
      </c>
      <c r="O169" t="s">
        <v>453</v>
      </c>
      <c r="P169" t="s">
        <v>453</v>
      </c>
      <c r="Q169">
        <v>1</v>
      </c>
      <c r="W169">
        <v>0</v>
      </c>
      <c r="X169">
        <v>-1949254540</v>
      </c>
      <c r="Y169">
        <v>24.536399999999997</v>
      </c>
      <c r="AA169">
        <v>0</v>
      </c>
      <c r="AB169">
        <v>1083.81</v>
      </c>
      <c r="AC169">
        <v>405.02</v>
      </c>
      <c r="AD169">
        <v>0</v>
      </c>
      <c r="AE169">
        <v>0</v>
      </c>
      <c r="AF169">
        <v>140.39</v>
      </c>
      <c r="AG169">
        <v>14</v>
      </c>
      <c r="AH169">
        <v>0</v>
      </c>
      <c r="AI169">
        <v>1</v>
      </c>
      <c r="AJ169">
        <v>7.72</v>
      </c>
      <c r="AK169">
        <v>28.93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T169">
        <v>17.78</v>
      </c>
      <c r="AU169" t="s">
        <v>86</v>
      </c>
      <c r="AV169">
        <v>0</v>
      </c>
      <c r="AW169">
        <v>2</v>
      </c>
      <c r="AX169">
        <v>44578989</v>
      </c>
      <c r="AY169">
        <v>1</v>
      </c>
      <c r="AZ169">
        <v>0</v>
      </c>
      <c r="BA169">
        <v>174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Y169*Source!I192</f>
        <v>0.11286743999999999</v>
      </c>
      <c r="CY169">
        <f t="shared" si="34"/>
        <v>1083.81</v>
      </c>
      <c r="CZ169">
        <f t="shared" si="35"/>
        <v>140.39</v>
      </c>
      <c r="DA169">
        <f t="shared" si="36"/>
        <v>7.72</v>
      </c>
      <c r="DB169">
        <f t="shared" si="32"/>
        <v>3444.66</v>
      </c>
      <c r="DC169">
        <f t="shared" si="33"/>
        <v>343.51</v>
      </c>
    </row>
    <row r="170" spans="1:107" ht="12.75">
      <c r="A170">
        <f>ROW(Source!A192)</f>
        <v>192</v>
      </c>
      <c r="B170">
        <v>44571020</v>
      </c>
      <c r="C170">
        <v>44578970</v>
      </c>
      <c r="D170">
        <v>13902589</v>
      </c>
      <c r="E170">
        <v>1</v>
      </c>
      <c r="F170">
        <v>1</v>
      </c>
      <c r="G170">
        <v>1</v>
      </c>
      <c r="H170">
        <v>2</v>
      </c>
      <c r="I170" t="s">
        <v>589</v>
      </c>
      <c r="J170" t="s">
        <v>590</v>
      </c>
      <c r="K170" t="s">
        <v>591</v>
      </c>
      <c r="L170">
        <v>1368</v>
      </c>
      <c r="N170">
        <v>1011</v>
      </c>
      <c r="O170" t="s">
        <v>453</v>
      </c>
      <c r="P170" t="s">
        <v>453</v>
      </c>
      <c r="Q170">
        <v>1</v>
      </c>
      <c r="W170">
        <v>0</v>
      </c>
      <c r="X170">
        <v>-249495239</v>
      </c>
      <c r="Y170">
        <v>4.0847999999999995</v>
      </c>
      <c r="AA170">
        <v>0</v>
      </c>
      <c r="AB170">
        <v>1040.58</v>
      </c>
      <c r="AC170">
        <v>326.33</v>
      </c>
      <c r="AD170">
        <v>0</v>
      </c>
      <c r="AE170">
        <v>0</v>
      </c>
      <c r="AF170">
        <v>134.79</v>
      </c>
      <c r="AG170">
        <v>11.28</v>
      </c>
      <c r="AH170">
        <v>0</v>
      </c>
      <c r="AI170">
        <v>1</v>
      </c>
      <c r="AJ170">
        <v>7.72</v>
      </c>
      <c r="AK170">
        <v>28.93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T170">
        <v>2.96</v>
      </c>
      <c r="AU170" t="s">
        <v>86</v>
      </c>
      <c r="AV170">
        <v>0</v>
      </c>
      <c r="AW170">
        <v>2</v>
      </c>
      <c r="AX170">
        <v>44578990</v>
      </c>
      <c r="AY170">
        <v>1</v>
      </c>
      <c r="AZ170">
        <v>0</v>
      </c>
      <c r="BA170">
        <v>175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Y170*Source!I192</f>
        <v>0.018790079999999997</v>
      </c>
      <c r="CY170">
        <f t="shared" si="34"/>
        <v>1040.58</v>
      </c>
      <c r="CZ170">
        <f t="shared" si="35"/>
        <v>134.79</v>
      </c>
      <c r="DA170">
        <f t="shared" si="36"/>
        <v>7.72</v>
      </c>
      <c r="DB170">
        <f t="shared" si="32"/>
        <v>550.59</v>
      </c>
      <c r="DC170">
        <f t="shared" si="33"/>
        <v>46.08</v>
      </c>
    </row>
    <row r="171" spans="1:107" ht="12.75">
      <c r="A171">
        <f>ROW(Source!A192)</f>
        <v>192</v>
      </c>
      <c r="B171">
        <v>44571020</v>
      </c>
      <c r="C171">
        <v>44578970</v>
      </c>
      <c r="D171">
        <v>13902601</v>
      </c>
      <c r="E171">
        <v>1</v>
      </c>
      <c r="F171">
        <v>1</v>
      </c>
      <c r="G171">
        <v>1</v>
      </c>
      <c r="H171">
        <v>2</v>
      </c>
      <c r="I171" t="s">
        <v>650</v>
      </c>
      <c r="J171" t="s">
        <v>651</v>
      </c>
      <c r="K171" t="s">
        <v>652</v>
      </c>
      <c r="L171">
        <v>1368</v>
      </c>
      <c r="N171">
        <v>1011</v>
      </c>
      <c r="O171" t="s">
        <v>453</v>
      </c>
      <c r="P171" t="s">
        <v>453</v>
      </c>
      <c r="Q171">
        <v>1</v>
      </c>
      <c r="W171">
        <v>0</v>
      </c>
      <c r="X171">
        <v>-1890347062</v>
      </c>
      <c r="Y171">
        <v>0.8969999999999999</v>
      </c>
      <c r="AA171">
        <v>0</v>
      </c>
      <c r="AB171">
        <v>1049.46</v>
      </c>
      <c r="AC171">
        <v>379.56</v>
      </c>
      <c r="AD171">
        <v>0</v>
      </c>
      <c r="AE171">
        <v>0</v>
      </c>
      <c r="AF171">
        <v>135.94</v>
      </c>
      <c r="AG171">
        <v>13.12</v>
      </c>
      <c r="AH171">
        <v>0</v>
      </c>
      <c r="AI171">
        <v>1</v>
      </c>
      <c r="AJ171">
        <v>7.72</v>
      </c>
      <c r="AK171">
        <v>28.93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T171">
        <v>0.65</v>
      </c>
      <c r="AU171" t="s">
        <v>86</v>
      </c>
      <c r="AV171">
        <v>0</v>
      </c>
      <c r="AW171">
        <v>2</v>
      </c>
      <c r="AX171">
        <v>44578991</v>
      </c>
      <c r="AY171">
        <v>1</v>
      </c>
      <c r="AZ171">
        <v>0</v>
      </c>
      <c r="BA171">
        <v>176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Y171*Source!I192</f>
        <v>0.004126199999999999</v>
      </c>
      <c r="CY171">
        <f t="shared" si="34"/>
        <v>1049.46</v>
      </c>
      <c r="CZ171">
        <f t="shared" si="35"/>
        <v>135.94</v>
      </c>
      <c r="DA171">
        <f t="shared" si="36"/>
        <v>7.72</v>
      </c>
      <c r="DB171">
        <f t="shared" si="32"/>
        <v>121.94</v>
      </c>
      <c r="DC171">
        <f t="shared" si="33"/>
        <v>11.77</v>
      </c>
    </row>
    <row r="172" spans="1:107" ht="12.75">
      <c r="A172">
        <f>ROW(Source!A192)</f>
        <v>192</v>
      </c>
      <c r="B172">
        <v>44571020</v>
      </c>
      <c r="C172">
        <v>44578970</v>
      </c>
      <c r="D172">
        <v>13984275</v>
      </c>
      <c r="E172">
        <v>1</v>
      </c>
      <c r="F172">
        <v>1</v>
      </c>
      <c r="G172">
        <v>1</v>
      </c>
      <c r="H172">
        <v>3</v>
      </c>
      <c r="I172" t="s">
        <v>289</v>
      </c>
      <c r="J172" t="s">
        <v>291</v>
      </c>
      <c r="K172" t="s">
        <v>290</v>
      </c>
      <c r="L172">
        <v>1339</v>
      </c>
      <c r="N172">
        <v>1007</v>
      </c>
      <c r="O172" t="s">
        <v>283</v>
      </c>
      <c r="P172" t="s">
        <v>283</v>
      </c>
      <c r="Q172">
        <v>1</v>
      </c>
      <c r="W172">
        <v>1</v>
      </c>
      <c r="X172">
        <v>-562267757</v>
      </c>
      <c r="Y172">
        <v>-15</v>
      </c>
      <c r="AA172">
        <v>1609.22</v>
      </c>
      <c r="AB172">
        <v>0</v>
      </c>
      <c r="AC172">
        <v>0</v>
      </c>
      <c r="AD172">
        <v>0</v>
      </c>
      <c r="AE172">
        <v>312.47</v>
      </c>
      <c r="AF172">
        <v>0</v>
      </c>
      <c r="AG172">
        <v>0</v>
      </c>
      <c r="AH172">
        <v>0</v>
      </c>
      <c r="AI172">
        <v>5.15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-15</v>
      </c>
      <c r="AV172">
        <v>0</v>
      </c>
      <c r="AW172">
        <v>2</v>
      </c>
      <c r="AX172">
        <v>44578992</v>
      </c>
      <c r="AY172">
        <v>1</v>
      </c>
      <c r="AZ172">
        <v>6144</v>
      </c>
      <c r="BA172">
        <v>177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Y172*Source!I192</f>
        <v>-0.069</v>
      </c>
      <c r="CY172">
        <f>AA172</f>
        <v>1609.22</v>
      </c>
      <c r="CZ172">
        <f>AE172</f>
        <v>312.47</v>
      </c>
      <c r="DA172">
        <f>AI172</f>
        <v>5.15</v>
      </c>
      <c r="DB172">
        <f>ROUND(ROUND(AT172*CZ172,2),2)</f>
        <v>-4687.05</v>
      </c>
      <c r="DC172">
        <f>ROUND(ROUND(AT172*AG172,2),2)</f>
        <v>0</v>
      </c>
    </row>
    <row r="173" spans="1:107" ht="12.75">
      <c r="A173">
        <f>ROW(Source!A192)</f>
        <v>192</v>
      </c>
      <c r="B173">
        <v>44571020</v>
      </c>
      <c r="C173">
        <v>44578970</v>
      </c>
      <c r="D173">
        <v>13984277</v>
      </c>
      <c r="E173">
        <v>1</v>
      </c>
      <c r="F173">
        <v>1</v>
      </c>
      <c r="G173">
        <v>1</v>
      </c>
      <c r="H173">
        <v>3</v>
      </c>
      <c r="I173" t="s">
        <v>281</v>
      </c>
      <c r="J173" t="s">
        <v>284</v>
      </c>
      <c r="K173" t="s">
        <v>282</v>
      </c>
      <c r="L173">
        <v>1339</v>
      </c>
      <c r="N173">
        <v>1007</v>
      </c>
      <c r="O173" t="s">
        <v>283</v>
      </c>
      <c r="P173" t="s">
        <v>283</v>
      </c>
      <c r="Q173">
        <v>1</v>
      </c>
      <c r="W173">
        <v>1</v>
      </c>
      <c r="X173">
        <v>-565367017</v>
      </c>
      <c r="Y173">
        <v>-189</v>
      </c>
      <c r="AA173">
        <v>1027.94</v>
      </c>
      <c r="AB173">
        <v>0</v>
      </c>
      <c r="AC173">
        <v>0</v>
      </c>
      <c r="AD173">
        <v>0</v>
      </c>
      <c r="AE173">
        <v>199.6</v>
      </c>
      <c r="AF173">
        <v>0</v>
      </c>
      <c r="AG173">
        <v>0</v>
      </c>
      <c r="AH173">
        <v>0</v>
      </c>
      <c r="AI173">
        <v>5.15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-189</v>
      </c>
      <c r="AV173">
        <v>0</v>
      </c>
      <c r="AW173">
        <v>2</v>
      </c>
      <c r="AX173">
        <v>44578993</v>
      </c>
      <c r="AY173">
        <v>1</v>
      </c>
      <c r="AZ173">
        <v>6144</v>
      </c>
      <c r="BA173">
        <v>178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Y173*Source!I192</f>
        <v>-0.8694</v>
      </c>
      <c r="CY173">
        <f>AA173</f>
        <v>1027.94</v>
      </c>
      <c r="CZ173">
        <f>AE173</f>
        <v>199.6</v>
      </c>
      <c r="DA173">
        <f>AI173</f>
        <v>5.15</v>
      </c>
      <c r="DB173">
        <f>ROUND(ROUND(AT173*CZ173,2),2)</f>
        <v>-37724.4</v>
      </c>
      <c r="DC173">
        <f>ROUND(ROUND(AT173*AG173,2),2)</f>
        <v>0</v>
      </c>
    </row>
    <row r="174" spans="1:107" ht="12.75">
      <c r="A174">
        <f>ROW(Source!A192)</f>
        <v>192</v>
      </c>
      <c r="B174">
        <v>44571020</v>
      </c>
      <c r="C174">
        <v>44578970</v>
      </c>
      <c r="D174">
        <v>13985061</v>
      </c>
      <c r="E174">
        <v>1</v>
      </c>
      <c r="F174">
        <v>1</v>
      </c>
      <c r="G174">
        <v>1</v>
      </c>
      <c r="H174">
        <v>3</v>
      </c>
      <c r="I174" t="s">
        <v>489</v>
      </c>
      <c r="J174" t="s">
        <v>490</v>
      </c>
      <c r="K174" t="s">
        <v>491</v>
      </c>
      <c r="L174">
        <v>1339</v>
      </c>
      <c r="N174">
        <v>1007</v>
      </c>
      <c r="O174" t="s">
        <v>283</v>
      </c>
      <c r="P174" t="s">
        <v>283</v>
      </c>
      <c r="Q174">
        <v>1</v>
      </c>
      <c r="W174">
        <v>0</v>
      </c>
      <c r="X174">
        <v>-129011492</v>
      </c>
      <c r="Y174">
        <v>30</v>
      </c>
      <c r="AA174">
        <v>32.45</v>
      </c>
      <c r="AB174">
        <v>0</v>
      </c>
      <c r="AC174">
        <v>0</v>
      </c>
      <c r="AD174">
        <v>0</v>
      </c>
      <c r="AE174">
        <v>6.3</v>
      </c>
      <c r="AF174">
        <v>0</v>
      </c>
      <c r="AG174">
        <v>0</v>
      </c>
      <c r="AH174">
        <v>0</v>
      </c>
      <c r="AI174">
        <v>5.15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30</v>
      </c>
      <c r="AV174">
        <v>0</v>
      </c>
      <c r="AW174">
        <v>2</v>
      </c>
      <c r="AX174">
        <v>44578994</v>
      </c>
      <c r="AY174">
        <v>1</v>
      </c>
      <c r="AZ174">
        <v>0</v>
      </c>
      <c r="BA174">
        <v>179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Y174*Source!I192</f>
        <v>0.138</v>
      </c>
      <c r="CY174">
        <f>AA174</f>
        <v>32.45</v>
      </c>
      <c r="CZ174">
        <f>AE174</f>
        <v>6.3</v>
      </c>
      <c r="DA174">
        <f>AI174</f>
        <v>5.15</v>
      </c>
      <c r="DB174">
        <f>ROUND(ROUND(AT174*CZ174,2),2)</f>
        <v>189</v>
      </c>
      <c r="DC174">
        <f>ROUND(ROUND(AT174*AG174,2),2)</f>
        <v>0</v>
      </c>
    </row>
    <row r="175" spans="1:107" ht="12.75">
      <c r="A175">
        <f>ROW(Source!A195)</f>
        <v>195</v>
      </c>
      <c r="B175">
        <v>44571020</v>
      </c>
      <c r="C175">
        <v>44578997</v>
      </c>
      <c r="D175">
        <v>121548</v>
      </c>
      <c r="E175">
        <v>1</v>
      </c>
      <c r="F175">
        <v>1</v>
      </c>
      <c r="G175">
        <v>1</v>
      </c>
      <c r="H175">
        <v>1</v>
      </c>
      <c r="I175" t="s">
        <v>28</v>
      </c>
      <c r="K175" t="s">
        <v>446</v>
      </c>
      <c r="L175">
        <v>608254</v>
      </c>
      <c r="N175">
        <v>1013</v>
      </c>
      <c r="O175" t="s">
        <v>447</v>
      </c>
      <c r="P175" t="s">
        <v>447</v>
      </c>
      <c r="Q175">
        <v>1</v>
      </c>
      <c r="W175">
        <v>0</v>
      </c>
      <c r="X175">
        <v>-185737400</v>
      </c>
      <c r="Y175">
        <v>17.318999999999996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28.93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T175">
        <v>2.51</v>
      </c>
      <c r="AU175" t="s">
        <v>297</v>
      </c>
      <c r="AV175">
        <v>2</v>
      </c>
      <c r="AW175">
        <v>2</v>
      </c>
      <c r="AX175">
        <v>44579003</v>
      </c>
      <c r="AY175">
        <v>1</v>
      </c>
      <c r="AZ175">
        <v>0</v>
      </c>
      <c r="BA175">
        <v>180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Y175*Source!I195</f>
        <v>0.07966739999999997</v>
      </c>
      <c r="CY175">
        <f>AD175</f>
        <v>0</v>
      </c>
      <c r="CZ175">
        <f>AH175</f>
        <v>0</v>
      </c>
      <c r="DA175">
        <f>AL175</f>
        <v>1</v>
      </c>
      <c r="DB175">
        <f>ROUND((ROUND(AT175*CZ175,2)*ROUND((1.15*5*1.2),7)),2)</f>
        <v>0</v>
      </c>
      <c r="DC175">
        <f>ROUND((ROUND(AT175*AG175,2)*ROUND((1.15*5*1.2),7)),2)</f>
        <v>0</v>
      </c>
    </row>
    <row r="176" spans="1:107" ht="12.75">
      <c r="A176">
        <f>ROW(Source!A195)</f>
        <v>195</v>
      </c>
      <c r="B176">
        <v>44571020</v>
      </c>
      <c r="C176">
        <v>44578997</v>
      </c>
      <c r="D176">
        <v>13901881</v>
      </c>
      <c r="E176">
        <v>1</v>
      </c>
      <c r="F176">
        <v>1</v>
      </c>
      <c r="G176">
        <v>1</v>
      </c>
      <c r="H176">
        <v>2</v>
      </c>
      <c r="I176" t="s">
        <v>638</v>
      </c>
      <c r="J176" t="s">
        <v>639</v>
      </c>
      <c r="K176" t="s">
        <v>640</v>
      </c>
      <c r="L176">
        <v>1368</v>
      </c>
      <c r="N176">
        <v>1011</v>
      </c>
      <c r="O176" t="s">
        <v>453</v>
      </c>
      <c r="P176" t="s">
        <v>453</v>
      </c>
      <c r="Q176">
        <v>1</v>
      </c>
      <c r="W176">
        <v>0</v>
      </c>
      <c r="X176">
        <v>-1910634522</v>
      </c>
      <c r="Y176">
        <v>5.7269999999999985</v>
      </c>
      <c r="AA176">
        <v>0</v>
      </c>
      <c r="AB176">
        <v>837</v>
      </c>
      <c r="AC176">
        <v>282.94</v>
      </c>
      <c r="AD176">
        <v>0</v>
      </c>
      <c r="AE176">
        <v>0</v>
      </c>
      <c r="AF176">
        <v>108.42</v>
      </c>
      <c r="AG176">
        <v>9.78</v>
      </c>
      <c r="AH176">
        <v>0</v>
      </c>
      <c r="AI176">
        <v>1</v>
      </c>
      <c r="AJ176">
        <v>7.72</v>
      </c>
      <c r="AK176">
        <v>28.93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T176">
        <v>0.83</v>
      </c>
      <c r="AU176" t="s">
        <v>297</v>
      </c>
      <c r="AV176">
        <v>0</v>
      </c>
      <c r="AW176">
        <v>2</v>
      </c>
      <c r="AX176">
        <v>44579004</v>
      </c>
      <c r="AY176">
        <v>1</v>
      </c>
      <c r="AZ176">
        <v>0</v>
      </c>
      <c r="BA176">
        <v>181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Y176*Source!I195</f>
        <v>0.02634419999999999</v>
      </c>
      <c r="CY176">
        <f>AB176</f>
        <v>837</v>
      </c>
      <c r="CZ176">
        <f>AF176</f>
        <v>108.42</v>
      </c>
      <c r="DA176">
        <f>AJ176</f>
        <v>7.72</v>
      </c>
      <c r="DB176">
        <f>ROUND((ROUND(AT176*CZ176,2)*ROUND((1.15*5*1.2),7)),2)</f>
        <v>620.93</v>
      </c>
      <c r="DC176">
        <f>ROUND((ROUND(AT176*AG176,2)*ROUND((1.15*5*1.2),7)),2)</f>
        <v>56.03</v>
      </c>
    </row>
    <row r="177" spans="1:107" ht="12.75">
      <c r="A177">
        <f>ROW(Source!A195)</f>
        <v>195</v>
      </c>
      <c r="B177">
        <v>44571020</v>
      </c>
      <c r="C177">
        <v>44578997</v>
      </c>
      <c r="D177">
        <v>13902508</v>
      </c>
      <c r="E177">
        <v>1</v>
      </c>
      <c r="F177">
        <v>1</v>
      </c>
      <c r="G177">
        <v>1</v>
      </c>
      <c r="H177">
        <v>2</v>
      </c>
      <c r="I177" t="s">
        <v>644</v>
      </c>
      <c r="J177" t="s">
        <v>645</v>
      </c>
      <c r="K177" t="s">
        <v>646</v>
      </c>
      <c r="L177">
        <v>1368</v>
      </c>
      <c r="N177">
        <v>1011</v>
      </c>
      <c r="O177" t="s">
        <v>453</v>
      </c>
      <c r="P177" t="s">
        <v>453</v>
      </c>
      <c r="Q177">
        <v>1</v>
      </c>
      <c r="W177">
        <v>0</v>
      </c>
      <c r="X177">
        <v>-1878399779</v>
      </c>
      <c r="Y177">
        <v>5.933999999999999</v>
      </c>
      <c r="AA177">
        <v>0</v>
      </c>
      <c r="AB177">
        <v>646.09</v>
      </c>
      <c r="AC177">
        <v>326.33</v>
      </c>
      <c r="AD177">
        <v>0</v>
      </c>
      <c r="AE177">
        <v>0</v>
      </c>
      <c r="AF177">
        <v>83.69</v>
      </c>
      <c r="AG177">
        <v>11.28</v>
      </c>
      <c r="AH177">
        <v>0</v>
      </c>
      <c r="AI177">
        <v>1</v>
      </c>
      <c r="AJ177">
        <v>7.72</v>
      </c>
      <c r="AK177">
        <v>28.93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T177">
        <v>0.86</v>
      </c>
      <c r="AU177" t="s">
        <v>297</v>
      </c>
      <c r="AV177">
        <v>0</v>
      </c>
      <c r="AW177">
        <v>2</v>
      </c>
      <c r="AX177">
        <v>44579005</v>
      </c>
      <c r="AY177">
        <v>1</v>
      </c>
      <c r="AZ177">
        <v>0</v>
      </c>
      <c r="BA177">
        <v>182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Y177*Source!I195</f>
        <v>0.027296399999999995</v>
      </c>
      <c r="CY177">
        <f>AB177</f>
        <v>646.09</v>
      </c>
      <c r="CZ177">
        <f>AF177</f>
        <v>83.69</v>
      </c>
      <c r="DA177">
        <f>AJ177</f>
        <v>7.72</v>
      </c>
      <c r="DB177">
        <f>ROUND((ROUND(AT177*CZ177,2)*ROUND((1.15*5*1.2),7)),2)</f>
        <v>496.59</v>
      </c>
      <c r="DC177">
        <f>ROUND((ROUND(AT177*AG177,2)*ROUND((1.15*5*1.2),7)),2)</f>
        <v>66.93</v>
      </c>
    </row>
    <row r="178" spans="1:107" ht="12.75">
      <c r="A178">
        <f>ROW(Source!A195)</f>
        <v>195</v>
      </c>
      <c r="B178">
        <v>44571020</v>
      </c>
      <c r="C178">
        <v>44578997</v>
      </c>
      <c r="D178">
        <v>13902509</v>
      </c>
      <c r="E178">
        <v>1</v>
      </c>
      <c r="F178">
        <v>1</v>
      </c>
      <c r="G178">
        <v>1</v>
      </c>
      <c r="H178">
        <v>2</v>
      </c>
      <c r="I178" t="s">
        <v>647</v>
      </c>
      <c r="J178" t="s">
        <v>648</v>
      </c>
      <c r="K178" t="s">
        <v>649</v>
      </c>
      <c r="L178">
        <v>1368</v>
      </c>
      <c r="N178">
        <v>1011</v>
      </c>
      <c r="O178" t="s">
        <v>453</v>
      </c>
      <c r="P178" t="s">
        <v>453</v>
      </c>
      <c r="Q178">
        <v>1</v>
      </c>
      <c r="W178">
        <v>0</v>
      </c>
      <c r="X178">
        <v>-1949254540</v>
      </c>
      <c r="Y178">
        <v>5.657999999999999</v>
      </c>
      <c r="AA178">
        <v>0</v>
      </c>
      <c r="AB178">
        <v>1083.81</v>
      </c>
      <c r="AC178">
        <v>405.02</v>
      </c>
      <c r="AD178">
        <v>0</v>
      </c>
      <c r="AE178">
        <v>0</v>
      </c>
      <c r="AF178">
        <v>140.39</v>
      </c>
      <c r="AG178">
        <v>14</v>
      </c>
      <c r="AH178">
        <v>0</v>
      </c>
      <c r="AI178">
        <v>1</v>
      </c>
      <c r="AJ178">
        <v>7.72</v>
      </c>
      <c r="AK178">
        <v>28.93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T178">
        <v>0.82</v>
      </c>
      <c r="AU178" t="s">
        <v>297</v>
      </c>
      <c r="AV178">
        <v>0</v>
      </c>
      <c r="AW178">
        <v>2</v>
      </c>
      <c r="AX178">
        <v>44579006</v>
      </c>
      <c r="AY178">
        <v>1</v>
      </c>
      <c r="AZ178">
        <v>0</v>
      </c>
      <c r="BA178">
        <v>183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Y178*Source!I195</f>
        <v>0.026026799999999992</v>
      </c>
      <c r="CY178">
        <f>AB178</f>
        <v>1083.81</v>
      </c>
      <c r="CZ178">
        <f>AF178</f>
        <v>140.39</v>
      </c>
      <c r="DA178">
        <f>AJ178</f>
        <v>7.72</v>
      </c>
      <c r="DB178">
        <f>ROUND((ROUND(AT178*CZ178,2)*ROUND((1.15*5*1.2),7)),2)</f>
        <v>794.33</v>
      </c>
      <c r="DC178">
        <f>ROUND((ROUND(AT178*AG178,2)*ROUND((1.15*5*1.2),7)),2)</f>
        <v>79.21</v>
      </c>
    </row>
    <row r="179" spans="1:107" ht="12.75">
      <c r="A179">
        <f>ROW(Source!A195)</f>
        <v>195</v>
      </c>
      <c r="B179">
        <v>44571020</v>
      </c>
      <c r="C179">
        <v>44578997</v>
      </c>
      <c r="D179">
        <v>13984277</v>
      </c>
      <c r="E179">
        <v>1</v>
      </c>
      <c r="F179">
        <v>1</v>
      </c>
      <c r="G179">
        <v>1</v>
      </c>
      <c r="H179">
        <v>3</v>
      </c>
      <c r="I179" t="s">
        <v>281</v>
      </c>
      <c r="J179" t="s">
        <v>284</v>
      </c>
      <c r="K179" t="s">
        <v>282</v>
      </c>
      <c r="L179">
        <v>1339</v>
      </c>
      <c r="N179">
        <v>1007</v>
      </c>
      <c r="O179" t="s">
        <v>283</v>
      </c>
      <c r="P179" t="s">
        <v>283</v>
      </c>
      <c r="Q179">
        <v>1</v>
      </c>
      <c r="W179">
        <v>1</v>
      </c>
      <c r="X179">
        <v>-565367017</v>
      </c>
      <c r="Y179">
        <v>-63</v>
      </c>
      <c r="AA179">
        <v>1027.94</v>
      </c>
      <c r="AB179">
        <v>0</v>
      </c>
      <c r="AC179">
        <v>0</v>
      </c>
      <c r="AD179">
        <v>0</v>
      </c>
      <c r="AE179">
        <v>199.6</v>
      </c>
      <c r="AF179">
        <v>0</v>
      </c>
      <c r="AG179">
        <v>0</v>
      </c>
      <c r="AH179">
        <v>0</v>
      </c>
      <c r="AI179">
        <v>5.15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T179">
        <v>-12.6</v>
      </c>
      <c r="AU179" t="s">
        <v>296</v>
      </c>
      <c r="AV179">
        <v>0</v>
      </c>
      <c r="AW179">
        <v>2</v>
      </c>
      <c r="AX179">
        <v>44579007</v>
      </c>
      <c r="AY179">
        <v>1</v>
      </c>
      <c r="AZ179">
        <v>6144</v>
      </c>
      <c r="BA179">
        <v>184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Y179*Source!I195</f>
        <v>-0.2898</v>
      </c>
      <c r="CY179">
        <f>AA179</f>
        <v>1027.94</v>
      </c>
      <c r="CZ179">
        <f>AE179</f>
        <v>199.6</v>
      </c>
      <c r="DA179">
        <f>AI179</f>
        <v>5.15</v>
      </c>
      <c r="DB179">
        <f>ROUND((ROUND(AT179*CZ179,2)*ROUND(5,7)),2)</f>
        <v>-12574.8</v>
      </c>
      <c r="DC179">
        <f>ROUND((ROUND(AT179*AG179,2)*ROUND(5,7)),2)</f>
        <v>0</v>
      </c>
    </row>
    <row r="180" spans="1:107" ht="12.75">
      <c r="A180">
        <f>ROW(Source!A198)</f>
        <v>198</v>
      </c>
      <c r="B180">
        <v>44571020</v>
      </c>
      <c r="C180">
        <v>44579010</v>
      </c>
      <c r="D180">
        <v>121548</v>
      </c>
      <c r="E180">
        <v>1</v>
      </c>
      <c r="F180">
        <v>1</v>
      </c>
      <c r="G180">
        <v>1</v>
      </c>
      <c r="H180">
        <v>1</v>
      </c>
      <c r="I180" t="s">
        <v>28</v>
      </c>
      <c r="K180" t="s">
        <v>446</v>
      </c>
      <c r="L180">
        <v>608254</v>
      </c>
      <c r="N180">
        <v>1013</v>
      </c>
      <c r="O180" t="s">
        <v>447</v>
      </c>
      <c r="P180" t="s">
        <v>447</v>
      </c>
      <c r="Q180">
        <v>1</v>
      </c>
      <c r="W180">
        <v>0</v>
      </c>
      <c r="X180">
        <v>-185737400</v>
      </c>
      <c r="Y180">
        <v>0.9107999999999999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28.93</v>
      </c>
      <c r="AL180">
        <v>1</v>
      </c>
      <c r="AN180">
        <v>0</v>
      </c>
      <c r="AO180">
        <v>1</v>
      </c>
      <c r="AP180">
        <v>1</v>
      </c>
      <c r="AQ180">
        <v>0</v>
      </c>
      <c r="AR180">
        <v>0</v>
      </c>
      <c r="AT180">
        <v>0.66</v>
      </c>
      <c r="AU180" t="s">
        <v>86</v>
      </c>
      <c r="AV180">
        <v>2</v>
      </c>
      <c r="AW180">
        <v>2</v>
      </c>
      <c r="AX180">
        <v>44579014</v>
      </c>
      <c r="AY180">
        <v>1</v>
      </c>
      <c r="AZ180">
        <v>0</v>
      </c>
      <c r="BA180">
        <v>185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Y180*Source!I198</f>
        <v>0.0020948399999999997</v>
      </c>
      <c r="CY180">
        <f>AD180</f>
        <v>0</v>
      </c>
      <c r="CZ180">
        <f>AH180</f>
        <v>0</v>
      </c>
      <c r="DA180">
        <f>AL180</f>
        <v>1</v>
      </c>
      <c r="DB180">
        <f>ROUND((ROUND(AT180*CZ180,2)*ROUND((1.15*1.2),7)),2)</f>
        <v>0</v>
      </c>
      <c r="DC180">
        <f>ROUND((ROUND(AT180*AG180,2)*ROUND((1.15*1.2),7)),2)</f>
        <v>0</v>
      </c>
    </row>
    <row r="181" spans="1:107" ht="12.75">
      <c r="A181">
        <f>ROW(Source!A198)</f>
        <v>198</v>
      </c>
      <c r="B181">
        <v>44571020</v>
      </c>
      <c r="C181">
        <v>44579010</v>
      </c>
      <c r="D181">
        <v>13902468</v>
      </c>
      <c r="E181">
        <v>1</v>
      </c>
      <c r="F181">
        <v>1</v>
      </c>
      <c r="G181">
        <v>1</v>
      </c>
      <c r="H181">
        <v>2</v>
      </c>
      <c r="I181" t="s">
        <v>653</v>
      </c>
      <c r="J181" t="s">
        <v>654</v>
      </c>
      <c r="K181" t="s">
        <v>655</v>
      </c>
      <c r="L181">
        <v>1368</v>
      </c>
      <c r="N181">
        <v>1011</v>
      </c>
      <c r="O181" t="s">
        <v>453</v>
      </c>
      <c r="P181" t="s">
        <v>453</v>
      </c>
      <c r="Q181">
        <v>1</v>
      </c>
      <c r="W181">
        <v>0</v>
      </c>
      <c r="X181">
        <v>841752771</v>
      </c>
      <c r="Y181">
        <v>0.45539999999999997</v>
      </c>
      <c r="AA181">
        <v>0</v>
      </c>
      <c r="AB181">
        <v>1136</v>
      </c>
      <c r="AC181">
        <v>609.27</v>
      </c>
      <c r="AD181">
        <v>0</v>
      </c>
      <c r="AE181">
        <v>0</v>
      </c>
      <c r="AF181">
        <v>147.15</v>
      </c>
      <c r="AG181">
        <v>21.06</v>
      </c>
      <c r="AH181">
        <v>0</v>
      </c>
      <c r="AI181">
        <v>1</v>
      </c>
      <c r="AJ181">
        <v>7.72</v>
      </c>
      <c r="AK181">
        <v>28.93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T181">
        <v>0.33</v>
      </c>
      <c r="AU181" t="s">
        <v>86</v>
      </c>
      <c r="AV181">
        <v>0</v>
      </c>
      <c r="AW181">
        <v>2</v>
      </c>
      <c r="AX181">
        <v>44579015</v>
      </c>
      <c r="AY181">
        <v>1</v>
      </c>
      <c r="AZ181">
        <v>0</v>
      </c>
      <c r="BA181">
        <v>186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Y181*Source!I198</f>
        <v>0.0010474199999999999</v>
      </c>
      <c r="CY181">
        <f>AB181</f>
        <v>1136</v>
      </c>
      <c r="CZ181">
        <f>AF181</f>
        <v>147.15</v>
      </c>
      <c r="DA181">
        <f>AJ181</f>
        <v>7.72</v>
      </c>
      <c r="DB181">
        <f>ROUND((ROUND(AT181*CZ181,2)*ROUND((1.15*1.2),7)),2)</f>
        <v>67.01</v>
      </c>
      <c r="DC181">
        <f>ROUND((ROUND(AT181*AG181,2)*ROUND((1.15*1.2),7)),2)</f>
        <v>9.59</v>
      </c>
    </row>
    <row r="182" spans="1:107" ht="12.75">
      <c r="A182">
        <f>ROW(Source!A198)</f>
        <v>198</v>
      </c>
      <c r="B182">
        <v>44571020</v>
      </c>
      <c r="C182">
        <v>44579010</v>
      </c>
      <c r="D182">
        <v>13907214</v>
      </c>
      <c r="E182">
        <v>1</v>
      </c>
      <c r="F182">
        <v>1</v>
      </c>
      <c r="G182">
        <v>1</v>
      </c>
      <c r="H182">
        <v>3</v>
      </c>
      <c r="I182" t="s">
        <v>656</v>
      </c>
      <c r="J182" t="s">
        <v>657</v>
      </c>
      <c r="K182" t="s">
        <v>658</v>
      </c>
      <c r="L182">
        <v>1348</v>
      </c>
      <c r="N182">
        <v>1009</v>
      </c>
      <c r="O182" t="s">
        <v>322</v>
      </c>
      <c r="P182" t="s">
        <v>322</v>
      </c>
      <c r="Q182">
        <v>1000</v>
      </c>
      <c r="W182">
        <v>0</v>
      </c>
      <c r="X182">
        <v>-718039020</v>
      </c>
      <c r="Y182">
        <v>1.03</v>
      </c>
      <c r="AA182">
        <v>12334.56</v>
      </c>
      <c r="AB182">
        <v>0</v>
      </c>
      <c r="AC182">
        <v>0</v>
      </c>
      <c r="AD182">
        <v>0</v>
      </c>
      <c r="AE182">
        <v>2395.06</v>
      </c>
      <c r="AF182">
        <v>0</v>
      </c>
      <c r="AG182">
        <v>0</v>
      </c>
      <c r="AH182">
        <v>0</v>
      </c>
      <c r="AI182">
        <v>5.15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1.03</v>
      </c>
      <c r="AV182">
        <v>0</v>
      </c>
      <c r="AW182">
        <v>2</v>
      </c>
      <c r="AX182">
        <v>44579016</v>
      </c>
      <c r="AY182">
        <v>1</v>
      </c>
      <c r="AZ182">
        <v>0</v>
      </c>
      <c r="BA182">
        <v>187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Y182*Source!I198</f>
        <v>0.002369</v>
      </c>
      <c r="CY182">
        <f>AA182</f>
        <v>12334.56</v>
      </c>
      <c r="CZ182">
        <f>AE182</f>
        <v>2395.06</v>
      </c>
      <c r="DA182">
        <f>AI182</f>
        <v>5.15</v>
      </c>
      <c r="DB182">
        <f>ROUND(ROUND(AT182*CZ182,2),2)</f>
        <v>2466.91</v>
      </c>
      <c r="DC182">
        <f>ROUND(ROUND(AT182*AG182,2),2)</f>
        <v>0</v>
      </c>
    </row>
    <row r="183" spans="1:107" ht="12.75">
      <c r="A183">
        <f>ROW(Source!A200)</f>
        <v>200</v>
      </c>
      <c r="B183">
        <v>44571020</v>
      </c>
      <c r="C183">
        <v>44579018</v>
      </c>
      <c r="D183">
        <v>9915078</v>
      </c>
      <c r="E183">
        <v>1</v>
      </c>
      <c r="F183">
        <v>1</v>
      </c>
      <c r="G183">
        <v>1</v>
      </c>
      <c r="H183">
        <v>1</v>
      </c>
      <c r="I183" t="s">
        <v>659</v>
      </c>
      <c r="K183" t="s">
        <v>660</v>
      </c>
      <c r="L183">
        <v>1191</v>
      </c>
      <c r="N183">
        <v>1013</v>
      </c>
      <c r="O183" t="s">
        <v>445</v>
      </c>
      <c r="P183" t="s">
        <v>445</v>
      </c>
      <c r="Q183">
        <v>1</v>
      </c>
      <c r="W183">
        <v>0</v>
      </c>
      <c r="X183">
        <v>-1998741301</v>
      </c>
      <c r="Y183">
        <v>30.042599999999997</v>
      </c>
      <c r="AA183">
        <v>0</v>
      </c>
      <c r="AB183">
        <v>0</v>
      </c>
      <c r="AC183">
        <v>0</v>
      </c>
      <c r="AD183">
        <v>274.55</v>
      </c>
      <c r="AE183">
        <v>0</v>
      </c>
      <c r="AF183">
        <v>0</v>
      </c>
      <c r="AG183">
        <v>0</v>
      </c>
      <c r="AH183">
        <v>9.49</v>
      </c>
      <c r="AI183">
        <v>1</v>
      </c>
      <c r="AJ183">
        <v>1</v>
      </c>
      <c r="AK183">
        <v>1</v>
      </c>
      <c r="AL183">
        <v>28.93</v>
      </c>
      <c r="AN183">
        <v>0</v>
      </c>
      <c r="AO183">
        <v>1</v>
      </c>
      <c r="AP183">
        <v>1</v>
      </c>
      <c r="AQ183">
        <v>0</v>
      </c>
      <c r="AR183">
        <v>0</v>
      </c>
      <c r="AT183">
        <v>21.77</v>
      </c>
      <c r="AU183" t="s">
        <v>86</v>
      </c>
      <c r="AV183">
        <v>1</v>
      </c>
      <c r="AW183">
        <v>2</v>
      </c>
      <c r="AX183">
        <v>44579028</v>
      </c>
      <c r="AY183">
        <v>1</v>
      </c>
      <c r="AZ183">
        <v>0</v>
      </c>
      <c r="BA183">
        <v>188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Y183*Source!I200</f>
        <v>0.34548989999999996</v>
      </c>
      <c r="CY183">
        <f>AD183</f>
        <v>274.55</v>
      </c>
      <c r="CZ183">
        <f>AH183</f>
        <v>9.49</v>
      </c>
      <c r="DA183">
        <f>AL183</f>
        <v>28.93</v>
      </c>
      <c r="DB183">
        <f aca="true" t="shared" si="37" ref="DB183:DB188">ROUND((ROUND(AT183*CZ183,2)*ROUND((1.15*1.2),7)),2)</f>
        <v>285.11</v>
      </c>
      <c r="DC183">
        <f aca="true" t="shared" si="38" ref="DC183:DC188">ROUND((ROUND(AT183*AG183,2)*ROUND((1.15*1.2),7)),2)</f>
        <v>0</v>
      </c>
    </row>
    <row r="184" spans="1:107" ht="12.75">
      <c r="A184">
        <f>ROW(Source!A200)</f>
        <v>200</v>
      </c>
      <c r="B184">
        <v>44571020</v>
      </c>
      <c r="C184">
        <v>44579018</v>
      </c>
      <c r="D184">
        <v>121548</v>
      </c>
      <c r="E184">
        <v>1</v>
      </c>
      <c r="F184">
        <v>1</v>
      </c>
      <c r="G184">
        <v>1</v>
      </c>
      <c r="H184">
        <v>1</v>
      </c>
      <c r="I184" t="s">
        <v>28</v>
      </c>
      <c r="K184" t="s">
        <v>446</v>
      </c>
      <c r="L184">
        <v>608254</v>
      </c>
      <c r="N184">
        <v>1013</v>
      </c>
      <c r="O184" t="s">
        <v>447</v>
      </c>
      <c r="P184" t="s">
        <v>447</v>
      </c>
      <c r="Q184">
        <v>1</v>
      </c>
      <c r="W184">
        <v>0</v>
      </c>
      <c r="X184">
        <v>-185737400</v>
      </c>
      <c r="Y184">
        <v>29.669999999999995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28.93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T184">
        <v>21.5</v>
      </c>
      <c r="AU184" t="s">
        <v>86</v>
      </c>
      <c r="AV184">
        <v>2</v>
      </c>
      <c r="AW184">
        <v>2</v>
      </c>
      <c r="AX184">
        <v>44579029</v>
      </c>
      <c r="AY184">
        <v>1</v>
      </c>
      <c r="AZ184">
        <v>0</v>
      </c>
      <c r="BA184">
        <v>189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Y184*Source!I200</f>
        <v>0.3412049999999999</v>
      </c>
      <c r="CY184">
        <f>AD184</f>
        <v>0</v>
      </c>
      <c r="CZ184">
        <f>AH184</f>
        <v>0</v>
      </c>
      <c r="DA184">
        <f>AL184</f>
        <v>1</v>
      </c>
      <c r="DB184">
        <f t="shared" si="37"/>
        <v>0</v>
      </c>
      <c r="DC184">
        <f t="shared" si="38"/>
        <v>0</v>
      </c>
    </row>
    <row r="185" spans="1:107" ht="12.75">
      <c r="A185">
        <f>ROW(Source!A200)</f>
        <v>200</v>
      </c>
      <c r="B185">
        <v>44571020</v>
      </c>
      <c r="C185">
        <v>44579018</v>
      </c>
      <c r="D185">
        <v>13902508</v>
      </c>
      <c r="E185">
        <v>1</v>
      </c>
      <c r="F185">
        <v>1</v>
      </c>
      <c r="G185">
        <v>1</v>
      </c>
      <c r="H185">
        <v>2</v>
      </c>
      <c r="I185" t="s">
        <v>644</v>
      </c>
      <c r="J185" t="s">
        <v>645</v>
      </c>
      <c r="K185" t="s">
        <v>646</v>
      </c>
      <c r="L185">
        <v>1368</v>
      </c>
      <c r="N185">
        <v>1011</v>
      </c>
      <c r="O185" t="s">
        <v>453</v>
      </c>
      <c r="P185" t="s">
        <v>453</v>
      </c>
      <c r="Q185">
        <v>1</v>
      </c>
      <c r="W185">
        <v>0</v>
      </c>
      <c r="X185">
        <v>-1878399779</v>
      </c>
      <c r="Y185">
        <v>5.768399999999999</v>
      </c>
      <c r="AA185">
        <v>0</v>
      </c>
      <c r="AB185">
        <v>646.09</v>
      </c>
      <c r="AC185">
        <v>326.33</v>
      </c>
      <c r="AD185">
        <v>0</v>
      </c>
      <c r="AE185">
        <v>0</v>
      </c>
      <c r="AF185">
        <v>83.69</v>
      </c>
      <c r="AG185">
        <v>11.28</v>
      </c>
      <c r="AH185">
        <v>0</v>
      </c>
      <c r="AI185">
        <v>1</v>
      </c>
      <c r="AJ185">
        <v>7.72</v>
      </c>
      <c r="AK185">
        <v>28.93</v>
      </c>
      <c r="AL185">
        <v>1</v>
      </c>
      <c r="AN185">
        <v>0</v>
      </c>
      <c r="AO185">
        <v>1</v>
      </c>
      <c r="AP185">
        <v>1</v>
      </c>
      <c r="AQ185">
        <v>0</v>
      </c>
      <c r="AR185">
        <v>0</v>
      </c>
      <c r="AT185">
        <v>4.18</v>
      </c>
      <c r="AU185" t="s">
        <v>86</v>
      </c>
      <c r="AV185">
        <v>0</v>
      </c>
      <c r="AW185">
        <v>2</v>
      </c>
      <c r="AX185">
        <v>44579030</v>
      </c>
      <c r="AY185">
        <v>1</v>
      </c>
      <c r="AZ185">
        <v>0</v>
      </c>
      <c r="BA185">
        <v>190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Y185*Source!I200</f>
        <v>0.06633659999999998</v>
      </c>
      <c r="CY185">
        <f>AB185</f>
        <v>646.09</v>
      </c>
      <c r="CZ185">
        <f>AF185</f>
        <v>83.69</v>
      </c>
      <c r="DA185">
        <f>AJ185</f>
        <v>7.72</v>
      </c>
      <c r="DB185">
        <f t="shared" si="37"/>
        <v>482.75</v>
      </c>
      <c r="DC185">
        <f t="shared" si="38"/>
        <v>65.07</v>
      </c>
    </row>
    <row r="186" spans="1:107" ht="12.75">
      <c r="A186">
        <f>ROW(Source!A200)</f>
        <v>200</v>
      </c>
      <c r="B186">
        <v>44571020</v>
      </c>
      <c r="C186">
        <v>44579018</v>
      </c>
      <c r="D186">
        <v>13902509</v>
      </c>
      <c r="E186">
        <v>1</v>
      </c>
      <c r="F186">
        <v>1</v>
      </c>
      <c r="G186">
        <v>1</v>
      </c>
      <c r="H186">
        <v>2</v>
      </c>
      <c r="I186" t="s">
        <v>647</v>
      </c>
      <c r="J186" t="s">
        <v>648</v>
      </c>
      <c r="K186" t="s">
        <v>649</v>
      </c>
      <c r="L186">
        <v>1368</v>
      </c>
      <c r="N186">
        <v>1011</v>
      </c>
      <c r="O186" t="s">
        <v>453</v>
      </c>
      <c r="P186" t="s">
        <v>453</v>
      </c>
      <c r="Q186">
        <v>1</v>
      </c>
      <c r="W186">
        <v>0</v>
      </c>
      <c r="X186">
        <v>-1949254540</v>
      </c>
      <c r="Y186">
        <v>18.726599999999998</v>
      </c>
      <c r="AA186">
        <v>0</v>
      </c>
      <c r="AB186">
        <v>1083.81</v>
      </c>
      <c r="AC186">
        <v>405.02</v>
      </c>
      <c r="AD186">
        <v>0</v>
      </c>
      <c r="AE186">
        <v>0</v>
      </c>
      <c r="AF186">
        <v>140.39</v>
      </c>
      <c r="AG186">
        <v>14</v>
      </c>
      <c r="AH186">
        <v>0</v>
      </c>
      <c r="AI186">
        <v>1</v>
      </c>
      <c r="AJ186">
        <v>7.72</v>
      </c>
      <c r="AK186">
        <v>28.93</v>
      </c>
      <c r="AL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T186">
        <v>13.57</v>
      </c>
      <c r="AU186" t="s">
        <v>86</v>
      </c>
      <c r="AV186">
        <v>0</v>
      </c>
      <c r="AW186">
        <v>2</v>
      </c>
      <c r="AX186">
        <v>44579031</v>
      </c>
      <c r="AY186">
        <v>1</v>
      </c>
      <c r="AZ186">
        <v>0</v>
      </c>
      <c r="BA186">
        <v>191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Y186*Source!I200</f>
        <v>0.21535589999999996</v>
      </c>
      <c r="CY186">
        <f>AB186</f>
        <v>1083.81</v>
      </c>
      <c r="CZ186">
        <f>AF186</f>
        <v>140.39</v>
      </c>
      <c r="DA186">
        <f>AJ186</f>
        <v>7.72</v>
      </c>
      <c r="DB186">
        <f t="shared" si="37"/>
        <v>2629.02</v>
      </c>
      <c r="DC186">
        <f t="shared" si="38"/>
        <v>262.17</v>
      </c>
    </row>
    <row r="187" spans="1:107" ht="12.75">
      <c r="A187">
        <f>ROW(Source!A200)</f>
        <v>200</v>
      </c>
      <c r="B187">
        <v>44571020</v>
      </c>
      <c r="C187">
        <v>44579018</v>
      </c>
      <c r="D187">
        <v>13902589</v>
      </c>
      <c r="E187">
        <v>1</v>
      </c>
      <c r="F187">
        <v>1</v>
      </c>
      <c r="G187">
        <v>1</v>
      </c>
      <c r="H187">
        <v>2</v>
      </c>
      <c r="I187" t="s">
        <v>589</v>
      </c>
      <c r="J187" t="s">
        <v>590</v>
      </c>
      <c r="K187" t="s">
        <v>591</v>
      </c>
      <c r="L187">
        <v>1368</v>
      </c>
      <c r="N187">
        <v>1011</v>
      </c>
      <c r="O187" t="s">
        <v>453</v>
      </c>
      <c r="P187" t="s">
        <v>453</v>
      </c>
      <c r="Q187">
        <v>1</v>
      </c>
      <c r="W187">
        <v>0</v>
      </c>
      <c r="X187">
        <v>-249495239</v>
      </c>
      <c r="Y187">
        <v>0.49679999999999996</v>
      </c>
      <c r="AA187">
        <v>0</v>
      </c>
      <c r="AB187">
        <v>1040.58</v>
      </c>
      <c r="AC187">
        <v>326.33</v>
      </c>
      <c r="AD187">
        <v>0</v>
      </c>
      <c r="AE187">
        <v>0</v>
      </c>
      <c r="AF187">
        <v>134.79</v>
      </c>
      <c r="AG187">
        <v>11.28</v>
      </c>
      <c r="AH187">
        <v>0</v>
      </c>
      <c r="AI187">
        <v>1</v>
      </c>
      <c r="AJ187">
        <v>7.72</v>
      </c>
      <c r="AK187">
        <v>28.93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T187">
        <v>0.36</v>
      </c>
      <c r="AU187" t="s">
        <v>86</v>
      </c>
      <c r="AV187">
        <v>0</v>
      </c>
      <c r="AW187">
        <v>2</v>
      </c>
      <c r="AX187">
        <v>44579032</v>
      </c>
      <c r="AY187">
        <v>1</v>
      </c>
      <c r="AZ187">
        <v>0</v>
      </c>
      <c r="BA187">
        <v>192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Y187*Source!I200</f>
        <v>0.0057132</v>
      </c>
      <c r="CY187">
        <f>AB187</f>
        <v>1040.58</v>
      </c>
      <c r="CZ187">
        <f>AF187</f>
        <v>134.79</v>
      </c>
      <c r="DA187">
        <f>AJ187</f>
        <v>7.72</v>
      </c>
      <c r="DB187">
        <f t="shared" si="37"/>
        <v>66.96</v>
      </c>
      <c r="DC187">
        <f t="shared" si="38"/>
        <v>5.6</v>
      </c>
    </row>
    <row r="188" spans="1:107" ht="12.75">
      <c r="A188">
        <f>ROW(Source!A200)</f>
        <v>200</v>
      </c>
      <c r="B188">
        <v>44571020</v>
      </c>
      <c r="C188">
        <v>44579018</v>
      </c>
      <c r="D188">
        <v>13902617</v>
      </c>
      <c r="E188">
        <v>1</v>
      </c>
      <c r="F188">
        <v>1</v>
      </c>
      <c r="G188">
        <v>1</v>
      </c>
      <c r="H188">
        <v>2</v>
      </c>
      <c r="I188" t="s">
        <v>661</v>
      </c>
      <c r="J188" t="s">
        <v>662</v>
      </c>
      <c r="K188" t="s">
        <v>663</v>
      </c>
      <c r="L188">
        <v>1368</v>
      </c>
      <c r="N188">
        <v>1011</v>
      </c>
      <c r="O188" t="s">
        <v>453</v>
      </c>
      <c r="P188" t="s">
        <v>453</v>
      </c>
      <c r="Q188">
        <v>1</v>
      </c>
      <c r="W188">
        <v>0</v>
      </c>
      <c r="X188">
        <v>945238714</v>
      </c>
      <c r="Y188">
        <v>4.6781999999999995</v>
      </c>
      <c r="AA188">
        <v>0</v>
      </c>
      <c r="AB188">
        <v>1839.44</v>
      </c>
      <c r="AC188">
        <v>405.02</v>
      </c>
      <c r="AD188">
        <v>0</v>
      </c>
      <c r="AE188">
        <v>0</v>
      </c>
      <c r="AF188">
        <v>238.27</v>
      </c>
      <c r="AG188">
        <v>14</v>
      </c>
      <c r="AH188">
        <v>0</v>
      </c>
      <c r="AI188">
        <v>1</v>
      </c>
      <c r="AJ188">
        <v>7.72</v>
      </c>
      <c r="AK188">
        <v>28.93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T188">
        <v>3.39</v>
      </c>
      <c r="AU188" t="s">
        <v>86</v>
      </c>
      <c r="AV188">
        <v>0</v>
      </c>
      <c r="AW188">
        <v>2</v>
      </c>
      <c r="AX188">
        <v>44579033</v>
      </c>
      <c r="AY188">
        <v>1</v>
      </c>
      <c r="AZ188">
        <v>0</v>
      </c>
      <c r="BA188">
        <v>193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Y188*Source!I200</f>
        <v>0.053799299999999994</v>
      </c>
      <c r="CY188">
        <f>AB188</f>
        <v>1839.44</v>
      </c>
      <c r="CZ188">
        <f>AF188</f>
        <v>238.27</v>
      </c>
      <c r="DA188">
        <f>AJ188</f>
        <v>7.72</v>
      </c>
      <c r="DB188">
        <f t="shared" si="37"/>
        <v>1114.68</v>
      </c>
      <c r="DC188">
        <f t="shared" si="38"/>
        <v>65.49</v>
      </c>
    </row>
    <row r="189" spans="1:107" ht="12.75">
      <c r="A189">
        <f>ROW(Source!A200)</f>
        <v>200</v>
      </c>
      <c r="B189">
        <v>44571020</v>
      </c>
      <c r="C189">
        <v>44579018</v>
      </c>
      <c r="D189">
        <v>13905489</v>
      </c>
      <c r="E189">
        <v>1</v>
      </c>
      <c r="F189">
        <v>1</v>
      </c>
      <c r="G189">
        <v>1</v>
      </c>
      <c r="H189">
        <v>3</v>
      </c>
      <c r="I189" t="s">
        <v>664</v>
      </c>
      <c r="J189" t="s">
        <v>665</v>
      </c>
      <c r="K189" t="s">
        <v>666</v>
      </c>
      <c r="L189">
        <v>1348</v>
      </c>
      <c r="N189">
        <v>1009</v>
      </c>
      <c r="O189" t="s">
        <v>322</v>
      </c>
      <c r="P189" t="s">
        <v>322</v>
      </c>
      <c r="Q189">
        <v>1000</v>
      </c>
      <c r="W189">
        <v>0</v>
      </c>
      <c r="X189">
        <v>1050839526</v>
      </c>
      <c r="Y189">
        <v>0.005</v>
      </c>
      <c r="AA189">
        <v>14504.25</v>
      </c>
      <c r="AB189">
        <v>0</v>
      </c>
      <c r="AC189">
        <v>0</v>
      </c>
      <c r="AD189">
        <v>0</v>
      </c>
      <c r="AE189">
        <v>2816.36</v>
      </c>
      <c r="AF189">
        <v>0</v>
      </c>
      <c r="AG189">
        <v>0</v>
      </c>
      <c r="AH189">
        <v>0</v>
      </c>
      <c r="AI189">
        <v>5.15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T189">
        <v>0.005</v>
      </c>
      <c r="AV189">
        <v>0</v>
      </c>
      <c r="AW189">
        <v>2</v>
      </c>
      <c r="AX189">
        <v>44579034</v>
      </c>
      <c r="AY189">
        <v>1</v>
      </c>
      <c r="AZ189">
        <v>0</v>
      </c>
      <c r="BA189">
        <v>194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Y189*Source!I200</f>
        <v>5.75E-05</v>
      </c>
      <c r="CY189">
        <f>AA189</f>
        <v>14504.25</v>
      </c>
      <c r="CZ189">
        <f>AE189</f>
        <v>2816.36</v>
      </c>
      <c r="DA189">
        <f>AI189</f>
        <v>5.15</v>
      </c>
      <c r="DB189">
        <f>ROUND(ROUND(AT189*CZ189,2),2)</f>
        <v>14.08</v>
      </c>
      <c r="DC189">
        <f>ROUND(ROUND(AT189*AG189,2),2)</f>
        <v>0</v>
      </c>
    </row>
    <row r="190" spans="1:107" ht="12.75">
      <c r="A190">
        <f>ROW(Source!A200)</f>
        <v>200</v>
      </c>
      <c r="B190">
        <v>44571020</v>
      </c>
      <c r="C190">
        <v>44579018</v>
      </c>
      <c r="D190">
        <v>13907214</v>
      </c>
      <c r="E190">
        <v>1</v>
      </c>
      <c r="F190">
        <v>1</v>
      </c>
      <c r="G190">
        <v>1</v>
      </c>
      <c r="H190">
        <v>3</v>
      </c>
      <c r="I190" t="s">
        <v>656</v>
      </c>
      <c r="J190" t="s">
        <v>657</v>
      </c>
      <c r="K190" t="s">
        <v>658</v>
      </c>
      <c r="L190">
        <v>1348</v>
      </c>
      <c r="N190">
        <v>1009</v>
      </c>
      <c r="O190" t="s">
        <v>322</v>
      </c>
      <c r="P190" t="s">
        <v>322</v>
      </c>
      <c r="Q190">
        <v>1000</v>
      </c>
      <c r="W190">
        <v>0</v>
      </c>
      <c r="X190">
        <v>-718039020</v>
      </c>
      <c r="Y190">
        <v>0.074</v>
      </c>
      <c r="AA190">
        <v>12334.56</v>
      </c>
      <c r="AB190">
        <v>0</v>
      </c>
      <c r="AC190">
        <v>0</v>
      </c>
      <c r="AD190">
        <v>0</v>
      </c>
      <c r="AE190">
        <v>2395.06</v>
      </c>
      <c r="AF190">
        <v>0</v>
      </c>
      <c r="AG190">
        <v>0</v>
      </c>
      <c r="AH190">
        <v>0</v>
      </c>
      <c r="AI190">
        <v>5.15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T190">
        <v>0.074</v>
      </c>
      <c r="AV190">
        <v>0</v>
      </c>
      <c r="AW190">
        <v>2</v>
      </c>
      <c r="AX190">
        <v>44579035</v>
      </c>
      <c r="AY190">
        <v>1</v>
      </c>
      <c r="AZ190">
        <v>0</v>
      </c>
      <c r="BA190">
        <v>195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Y190*Source!I200</f>
        <v>0.000851</v>
      </c>
      <c r="CY190">
        <f>AA190</f>
        <v>12334.56</v>
      </c>
      <c r="CZ190">
        <f>AE190</f>
        <v>2395.06</v>
      </c>
      <c r="DA190">
        <f>AI190</f>
        <v>5.15</v>
      </c>
      <c r="DB190">
        <f>ROUND(ROUND(AT190*CZ190,2),2)</f>
        <v>177.23</v>
      </c>
      <c r="DC190">
        <f>ROUND(ROUND(AT190*AG190,2),2)</f>
        <v>0</v>
      </c>
    </row>
    <row r="191" spans="1:107" ht="12.75">
      <c r="A191">
        <f>ROW(Source!A200)</f>
        <v>200</v>
      </c>
      <c r="B191">
        <v>44571020</v>
      </c>
      <c r="C191">
        <v>44579018</v>
      </c>
      <c r="D191">
        <v>13984949</v>
      </c>
      <c r="E191">
        <v>1</v>
      </c>
      <c r="F191">
        <v>1</v>
      </c>
      <c r="G191">
        <v>1</v>
      </c>
      <c r="H191">
        <v>3</v>
      </c>
      <c r="I191" t="s">
        <v>320</v>
      </c>
      <c r="J191" t="s">
        <v>323</v>
      </c>
      <c r="K191" t="s">
        <v>321</v>
      </c>
      <c r="L191">
        <v>1348</v>
      </c>
      <c r="N191">
        <v>1009</v>
      </c>
      <c r="O191" t="s">
        <v>322</v>
      </c>
      <c r="P191" t="s">
        <v>322</v>
      </c>
      <c r="Q191">
        <v>1000</v>
      </c>
      <c r="W191">
        <v>1</v>
      </c>
      <c r="X191">
        <v>463314004</v>
      </c>
      <c r="Y191">
        <v>-101</v>
      </c>
      <c r="AA191">
        <v>1932.9</v>
      </c>
      <c r="AB191">
        <v>0</v>
      </c>
      <c r="AC191">
        <v>0</v>
      </c>
      <c r="AD191">
        <v>0</v>
      </c>
      <c r="AE191">
        <v>375.32</v>
      </c>
      <c r="AF191">
        <v>0</v>
      </c>
      <c r="AG191">
        <v>0</v>
      </c>
      <c r="AH191">
        <v>0</v>
      </c>
      <c r="AI191">
        <v>5.15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1</v>
      </c>
      <c r="AQ191">
        <v>0</v>
      </c>
      <c r="AR191">
        <v>0</v>
      </c>
      <c r="AT191">
        <v>-101</v>
      </c>
      <c r="AV191">
        <v>0</v>
      </c>
      <c r="AW191">
        <v>2</v>
      </c>
      <c r="AX191">
        <v>44579036</v>
      </c>
      <c r="AY191">
        <v>1</v>
      </c>
      <c r="AZ191">
        <v>6144</v>
      </c>
      <c r="BA191">
        <v>196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Y191*Source!I200</f>
        <v>-1.1615</v>
      </c>
      <c r="CY191">
        <f>AA191</f>
        <v>1932.9</v>
      </c>
      <c r="CZ191">
        <f>AE191</f>
        <v>375.32</v>
      </c>
      <c r="DA191">
        <f>AI191</f>
        <v>5.15</v>
      </c>
      <c r="DB191">
        <f>ROUND(ROUND(AT191*CZ191,2),2)</f>
        <v>-37907.32</v>
      </c>
      <c r="DC191">
        <f>ROUND(ROUND(AT191*AG191,2),2)</f>
        <v>0</v>
      </c>
    </row>
    <row r="192" spans="1:107" ht="12.75">
      <c r="A192">
        <f>ROW(Source!A202)</f>
        <v>202</v>
      </c>
      <c r="B192">
        <v>44571020</v>
      </c>
      <c r="C192">
        <v>44579038</v>
      </c>
      <c r="D192">
        <v>9915065</v>
      </c>
      <c r="E192">
        <v>1</v>
      </c>
      <c r="F192">
        <v>1</v>
      </c>
      <c r="G192">
        <v>1</v>
      </c>
      <c r="H192">
        <v>1</v>
      </c>
      <c r="I192" t="s">
        <v>667</v>
      </c>
      <c r="K192" t="s">
        <v>668</v>
      </c>
      <c r="L192">
        <v>1191</v>
      </c>
      <c r="N192">
        <v>1013</v>
      </c>
      <c r="O192" t="s">
        <v>445</v>
      </c>
      <c r="P192" t="s">
        <v>445</v>
      </c>
      <c r="Q192">
        <v>1</v>
      </c>
      <c r="W192">
        <v>0</v>
      </c>
      <c r="X192">
        <v>162480277</v>
      </c>
      <c r="Y192">
        <v>28.786799999999996</v>
      </c>
      <c r="AA192">
        <v>0</v>
      </c>
      <c r="AB192">
        <v>0</v>
      </c>
      <c r="AC192">
        <v>0</v>
      </c>
      <c r="AD192">
        <v>245.91</v>
      </c>
      <c r="AE192">
        <v>0</v>
      </c>
      <c r="AF192">
        <v>0</v>
      </c>
      <c r="AG192">
        <v>0</v>
      </c>
      <c r="AH192">
        <v>8.5</v>
      </c>
      <c r="AI192">
        <v>1</v>
      </c>
      <c r="AJ192">
        <v>1</v>
      </c>
      <c r="AK192">
        <v>1</v>
      </c>
      <c r="AL192">
        <v>28.93</v>
      </c>
      <c r="AN192">
        <v>0</v>
      </c>
      <c r="AO192">
        <v>1</v>
      </c>
      <c r="AP192">
        <v>1</v>
      </c>
      <c r="AQ192">
        <v>0</v>
      </c>
      <c r="AR192">
        <v>0</v>
      </c>
      <c r="AT192">
        <v>20.86</v>
      </c>
      <c r="AU192" t="s">
        <v>86</v>
      </c>
      <c r="AV192">
        <v>1</v>
      </c>
      <c r="AW192">
        <v>2</v>
      </c>
      <c r="AX192">
        <v>44579063</v>
      </c>
      <c r="AY192">
        <v>1</v>
      </c>
      <c r="AZ192">
        <v>0</v>
      </c>
      <c r="BA192">
        <v>197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Y192*Source!I202</f>
        <v>0.13241927999999997</v>
      </c>
      <c r="CY192">
        <f>AD192</f>
        <v>245.91</v>
      </c>
      <c r="CZ192">
        <f>AH192</f>
        <v>8.5</v>
      </c>
      <c r="DA192">
        <f>AL192</f>
        <v>28.93</v>
      </c>
      <c r="DB192">
        <f aca="true" t="shared" si="39" ref="DB192:DB207">ROUND((ROUND(AT192*CZ192,2)*ROUND((1.15*1.2),7)),2)</f>
        <v>244.69</v>
      </c>
      <c r="DC192">
        <f aca="true" t="shared" si="40" ref="DC192:DC207">ROUND((ROUND(AT192*AG192,2)*ROUND((1.15*1.2),7)),2)</f>
        <v>0</v>
      </c>
    </row>
    <row r="193" spans="1:107" ht="12.75">
      <c r="A193">
        <f>ROW(Source!A202)</f>
        <v>202</v>
      </c>
      <c r="B193">
        <v>44571020</v>
      </c>
      <c r="C193">
        <v>44579038</v>
      </c>
      <c r="D193">
        <v>121548</v>
      </c>
      <c r="E193">
        <v>1</v>
      </c>
      <c r="F193">
        <v>1</v>
      </c>
      <c r="G193">
        <v>1</v>
      </c>
      <c r="H193">
        <v>1</v>
      </c>
      <c r="I193" t="s">
        <v>28</v>
      </c>
      <c r="K193" t="s">
        <v>446</v>
      </c>
      <c r="L193">
        <v>608254</v>
      </c>
      <c r="N193">
        <v>1013</v>
      </c>
      <c r="O193" t="s">
        <v>447</v>
      </c>
      <c r="P193" t="s">
        <v>447</v>
      </c>
      <c r="Q193">
        <v>1</v>
      </c>
      <c r="W193">
        <v>0</v>
      </c>
      <c r="X193">
        <v>-185737400</v>
      </c>
      <c r="Y193">
        <v>25.737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28.93</v>
      </c>
      <c r="AL193">
        <v>1</v>
      </c>
      <c r="AN193">
        <v>0</v>
      </c>
      <c r="AO193">
        <v>1</v>
      </c>
      <c r="AP193">
        <v>1</v>
      </c>
      <c r="AQ193">
        <v>0</v>
      </c>
      <c r="AR193">
        <v>0</v>
      </c>
      <c r="AT193">
        <v>18.65</v>
      </c>
      <c r="AU193" t="s">
        <v>86</v>
      </c>
      <c r="AV193">
        <v>2</v>
      </c>
      <c r="AW193">
        <v>2</v>
      </c>
      <c r="AX193">
        <v>44579064</v>
      </c>
      <c r="AY193">
        <v>1</v>
      </c>
      <c r="AZ193">
        <v>0</v>
      </c>
      <c r="BA193">
        <v>198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Y193*Source!I202</f>
        <v>0.11839019999999999</v>
      </c>
      <c r="CY193">
        <f>AD193</f>
        <v>0</v>
      </c>
      <c r="CZ193">
        <f>AH193</f>
        <v>0</v>
      </c>
      <c r="DA193">
        <f>AL193</f>
        <v>1</v>
      </c>
      <c r="DB193">
        <f t="shared" si="39"/>
        <v>0</v>
      </c>
      <c r="DC193">
        <f t="shared" si="40"/>
        <v>0</v>
      </c>
    </row>
    <row r="194" spans="1:107" ht="12.75">
      <c r="A194">
        <f>ROW(Source!A202)</f>
        <v>202</v>
      </c>
      <c r="B194">
        <v>44571020</v>
      </c>
      <c r="C194">
        <v>44579038</v>
      </c>
      <c r="D194">
        <v>13901881</v>
      </c>
      <c r="E194">
        <v>1</v>
      </c>
      <c r="F194">
        <v>1</v>
      </c>
      <c r="G194">
        <v>1</v>
      </c>
      <c r="H194">
        <v>2</v>
      </c>
      <c r="I194" t="s">
        <v>638</v>
      </c>
      <c r="J194" t="s">
        <v>639</v>
      </c>
      <c r="K194" t="s">
        <v>640</v>
      </c>
      <c r="L194">
        <v>1368</v>
      </c>
      <c r="N194">
        <v>1011</v>
      </c>
      <c r="O194" t="s">
        <v>453</v>
      </c>
      <c r="P194" t="s">
        <v>453</v>
      </c>
      <c r="Q194">
        <v>1</v>
      </c>
      <c r="W194">
        <v>0</v>
      </c>
      <c r="X194">
        <v>-1910634522</v>
      </c>
      <c r="Y194">
        <v>0.7589999999999999</v>
      </c>
      <c r="AA194">
        <v>0</v>
      </c>
      <c r="AB194">
        <v>837</v>
      </c>
      <c r="AC194">
        <v>282.94</v>
      </c>
      <c r="AD194">
        <v>0</v>
      </c>
      <c r="AE194">
        <v>0</v>
      </c>
      <c r="AF194">
        <v>108.42</v>
      </c>
      <c r="AG194">
        <v>9.78</v>
      </c>
      <c r="AH194">
        <v>0</v>
      </c>
      <c r="AI194">
        <v>1</v>
      </c>
      <c r="AJ194">
        <v>7.72</v>
      </c>
      <c r="AK194">
        <v>28.93</v>
      </c>
      <c r="AL194">
        <v>1</v>
      </c>
      <c r="AN194">
        <v>0</v>
      </c>
      <c r="AO194">
        <v>1</v>
      </c>
      <c r="AP194">
        <v>1</v>
      </c>
      <c r="AQ194">
        <v>0</v>
      </c>
      <c r="AR194">
        <v>0</v>
      </c>
      <c r="AT194">
        <v>0.55</v>
      </c>
      <c r="AU194" t="s">
        <v>86</v>
      </c>
      <c r="AV194">
        <v>0</v>
      </c>
      <c r="AW194">
        <v>2</v>
      </c>
      <c r="AX194">
        <v>44579065</v>
      </c>
      <c r="AY194">
        <v>1</v>
      </c>
      <c r="AZ194">
        <v>0</v>
      </c>
      <c r="BA194">
        <v>199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Y194*Source!I202</f>
        <v>0.0034913999999999995</v>
      </c>
      <c r="CY194">
        <f aca="true" t="shared" si="41" ref="CY194:CY207">AB194</f>
        <v>837</v>
      </c>
      <c r="CZ194">
        <f aca="true" t="shared" si="42" ref="CZ194:CZ207">AF194</f>
        <v>108.42</v>
      </c>
      <c r="DA194">
        <f aca="true" t="shared" si="43" ref="DA194:DA207">AJ194</f>
        <v>7.72</v>
      </c>
      <c r="DB194">
        <f t="shared" si="39"/>
        <v>82.29</v>
      </c>
      <c r="DC194">
        <f t="shared" si="40"/>
        <v>7.42</v>
      </c>
    </row>
    <row r="195" spans="1:107" ht="12.75">
      <c r="A195">
        <f>ROW(Source!A202)</f>
        <v>202</v>
      </c>
      <c r="B195">
        <v>44571020</v>
      </c>
      <c r="C195">
        <v>44579038</v>
      </c>
      <c r="D195">
        <v>13901903</v>
      </c>
      <c r="E195">
        <v>1</v>
      </c>
      <c r="F195">
        <v>1</v>
      </c>
      <c r="G195">
        <v>1</v>
      </c>
      <c r="H195">
        <v>2</v>
      </c>
      <c r="I195" t="s">
        <v>669</v>
      </c>
      <c r="J195" t="s">
        <v>670</v>
      </c>
      <c r="K195" t="s">
        <v>671</v>
      </c>
      <c r="L195">
        <v>1368</v>
      </c>
      <c r="N195">
        <v>1011</v>
      </c>
      <c r="O195" t="s">
        <v>453</v>
      </c>
      <c r="P195" t="s">
        <v>453</v>
      </c>
      <c r="Q195">
        <v>1</v>
      </c>
      <c r="W195">
        <v>0</v>
      </c>
      <c r="X195">
        <v>-1705371913</v>
      </c>
      <c r="Y195">
        <v>3.3671999999999995</v>
      </c>
      <c r="AA195">
        <v>0</v>
      </c>
      <c r="AB195">
        <v>10.27</v>
      </c>
      <c r="AC195">
        <v>0</v>
      </c>
      <c r="AD195">
        <v>0</v>
      </c>
      <c r="AE195">
        <v>0</v>
      </c>
      <c r="AF195">
        <v>1.33</v>
      </c>
      <c r="AG195">
        <v>0</v>
      </c>
      <c r="AH195">
        <v>0</v>
      </c>
      <c r="AI195">
        <v>1</v>
      </c>
      <c r="AJ195">
        <v>7.72</v>
      </c>
      <c r="AK195">
        <v>28.93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T195">
        <v>2.44</v>
      </c>
      <c r="AU195" t="s">
        <v>86</v>
      </c>
      <c r="AV195">
        <v>0</v>
      </c>
      <c r="AW195">
        <v>2</v>
      </c>
      <c r="AX195">
        <v>44579066</v>
      </c>
      <c r="AY195">
        <v>1</v>
      </c>
      <c r="AZ195">
        <v>0</v>
      </c>
      <c r="BA195">
        <v>200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Y195*Source!I202</f>
        <v>0.015489119999999997</v>
      </c>
      <c r="CY195">
        <f t="shared" si="41"/>
        <v>10.27</v>
      </c>
      <c r="CZ195">
        <f t="shared" si="42"/>
        <v>1.33</v>
      </c>
      <c r="DA195">
        <f t="shared" si="43"/>
        <v>7.72</v>
      </c>
      <c r="DB195">
        <f t="shared" si="39"/>
        <v>4.49</v>
      </c>
      <c r="DC195">
        <f t="shared" si="40"/>
        <v>0</v>
      </c>
    </row>
    <row r="196" spans="1:107" ht="12.75">
      <c r="A196">
        <f>ROW(Source!A202)</f>
        <v>202</v>
      </c>
      <c r="B196">
        <v>44571020</v>
      </c>
      <c r="C196">
        <v>44579038</v>
      </c>
      <c r="D196">
        <v>13902511</v>
      </c>
      <c r="E196">
        <v>1</v>
      </c>
      <c r="F196">
        <v>1</v>
      </c>
      <c r="G196">
        <v>1</v>
      </c>
      <c r="H196">
        <v>2</v>
      </c>
      <c r="I196" t="s">
        <v>672</v>
      </c>
      <c r="J196" t="s">
        <v>673</v>
      </c>
      <c r="K196" t="s">
        <v>674</v>
      </c>
      <c r="L196">
        <v>1368</v>
      </c>
      <c r="N196">
        <v>1011</v>
      </c>
      <c r="O196" t="s">
        <v>453</v>
      </c>
      <c r="P196" t="s">
        <v>453</v>
      </c>
      <c r="Q196">
        <v>1</v>
      </c>
      <c r="W196">
        <v>0</v>
      </c>
      <c r="X196">
        <v>-948705889</v>
      </c>
      <c r="Y196">
        <v>1.3385999999999998</v>
      </c>
      <c r="AA196">
        <v>0</v>
      </c>
      <c r="AB196">
        <v>1809.03</v>
      </c>
      <c r="AC196">
        <v>379.56</v>
      </c>
      <c r="AD196">
        <v>0</v>
      </c>
      <c r="AE196">
        <v>0</v>
      </c>
      <c r="AF196">
        <v>234.33</v>
      </c>
      <c r="AG196">
        <v>13.12</v>
      </c>
      <c r="AH196">
        <v>0</v>
      </c>
      <c r="AI196">
        <v>1</v>
      </c>
      <c r="AJ196">
        <v>7.72</v>
      </c>
      <c r="AK196">
        <v>28.93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T196">
        <v>0.97</v>
      </c>
      <c r="AU196" t="s">
        <v>86</v>
      </c>
      <c r="AV196">
        <v>0</v>
      </c>
      <c r="AW196">
        <v>2</v>
      </c>
      <c r="AX196">
        <v>44579067</v>
      </c>
      <c r="AY196">
        <v>1</v>
      </c>
      <c r="AZ196">
        <v>0</v>
      </c>
      <c r="BA196">
        <v>201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Y196*Source!I202</f>
        <v>0.0061575599999999986</v>
      </c>
      <c r="CY196">
        <f t="shared" si="41"/>
        <v>1809.03</v>
      </c>
      <c r="CZ196">
        <f t="shared" si="42"/>
        <v>234.33</v>
      </c>
      <c r="DA196">
        <f t="shared" si="43"/>
        <v>7.72</v>
      </c>
      <c r="DB196">
        <f t="shared" si="39"/>
        <v>313.67</v>
      </c>
      <c r="DC196">
        <f t="shared" si="40"/>
        <v>17.57</v>
      </c>
    </row>
    <row r="197" spans="1:107" ht="12.75">
      <c r="A197">
        <f>ROW(Source!A202)</f>
        <v>202</v>
      </c>
      <c r="B197">
        <v>44571020</v>
      </c>
      <c r="C197">
        <v>44579038</v>
      </c>
      <c r="D197">
        <v>13902560</v>
      </c>
      <c r="E197">
        <v>1</v>
      </c>
      <c r="F197">
        <v>1</v>
      </c>
      <c r="G197">
        <v>1</v>
      </c>
      <c r="H197">
        <v>2</v>
      </c>
      <c r="I197" t="s">
        <v>675</v>
      </c>
      <c r="J197" t="s">
        <v>676</v>
      </c>
      <c r="K197" t="s">
        <v>677</v>
      </c>
      <c r="L197">
        <v>1368</v>
      </c>
      <c r="N197">
        <v>1011</v>
      </c>
      <c r="O197" t="s">
        <v>453</v>
      </c>
      <c r="P197" t="s">
        <v>453</v>
      </c>
      <c r="Q197">
        <v>1</v>
      </c>
      <c r="W197">
        <v>0</v>
      </c>
      <c r="X197">
        <v>-1482887100</v>
      </c>
      <c r="Y197">
        <v>2.8151999999999995</v>
      </c>
      <c r="AA197">
        <v>0</v>
      </c>
      <c r="AB197">
        <v>11665.46</v>
      </c>
      <c r="AC197">
        <v>405.02</v>
      </c>
      <c r="AD197">
        <v>0</v>
      </c>
      <c r="AE197">
        <v>0</v>
      </c>
      <c r="AF197">
        <v>1511.07</v>
      </c>
      <c r="AG197">
        <v>14</v>
      </c>
      <c r="AH197">
        <v>0</v>
      </c>
      <c r="AI197">
        <v>1</v>
      </c>
      <c r="AJ197">
        <v>7.72</v>
      </c>
      <c r="AK197">
        <v>28.93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T197">
        <v>2.04</v>
      </c>
      <c r="AU197" t="s">
        <v>86</v>
      </c>
      <c r="AV197">
        <v>0</v>
      </c>
      <c r="AW197">
        <v>2</v>
      </c>
      <c r="AX197">
        <v>44579068</v>
      </c>
      <c r="AY197">
        <v>1</v>
      </c>
      <c r="AZ197">
        <v>0</v>
      </c>
      <c r="BA197">
        <v>202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Y197*Source!I202</f>
        <v>0.012949919999999997</v>
      </c>
      <c r="CY197">
        <f t="shared" si="41"/>
        <v>11665.46</v>
      </c>
      <c r="CZ197">
        <f t="shared" si="42"/>
        <v>1511.07</v>
      </c>
      <c r="DA197">
        <f t="shared" si="43"/>
        <v>7.72</v>
      </c>
      <c r="DB197">
        <f t="shared" si="39"/>
        <v>4253.96</v>
      </c>
      <c r="DC197">
        <f t="shared" si="40"/>
        <v>39.41</v>
      </c>
    </row>
    <row r="198" spans="1:107" ht="12.75">
      <c r="A198">
        <f>ROW(Source!A202)</f>
        <v>202</v>
      </c>
      <c r="B198">
        <v>44571020</v>
      </c>
      <c r="C198">
        <v>44579038</v>
      </c>
      <c r="D198">
        <v>13902589</v>
      </c>
      <c r="E198">
        <v>1</v>
      </c>
      <c r="F198">
        <v>1</v>
      </c>
      <c r="G198">
        <v>1</v>
      </c>
      <c r="H198">
        <v>2</v>
      </c>
      <c r="I198" t="s">
        <v>589</v>
      </c>
      <c r="J198" t="s">
        <v>590</v>
      </c>
      <c r="K198" t="s">
        <v>591</v>
      </c>
      <c r="L198">
        <v>1368</v>
      </c>
      <c r="N198">
        <v>1011</v>
      </c>
      <c r="O198" t="s">
        <v>453</v>
      </c>
      <c r="P198" t="s">
        <v>453</v>
      </c>
      <c r="Q198">
        <v>1</v>
      </c>
      <c r="W198">
        <v>0</v>
      </c>
      <c r="X198">
        <v>-249495239</v>
      </c>
      <c r="Y198">
        <v>4.278</v>
      </c>
      <c r="AA198">
        <v>0</v>
      </c>
      <c r="AB198">
        <v>1040.58</v>
      </c>
      <c r="AC198">
        <v>326.33</v>
      </c>
      <c r="AD198">
        <v>0</v>
      </c>
      <c r="AE198">
        <v>0</v>
      </c>
      <c r="AF198">
        <v>134.79</v>
      </c>
      <c r="AG198">
        <v>11.28</v>
      </c>
      <c r="AH198">
        <v>0</v>
      </c>
      <c r="AI198">
        <v>1</v>
      </c>
      <c r="AJ198">
        <v>7.72</v>
      </c>
      <c r="AK198">
        <v>28.93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T198">
        <v>3.1</v>
      </c>
      <c r="AU198" t="s">
        <v>86</v>
      </c>
      <c r="AV198">
        <v>0</v>
      </c>
      <c r="AW198">
        <v>2</v>
      </c>
      <c r="AX198">
        <v>44579069</v>
      </c>
      <c r="AY198">
        <v>1</v>
      </c>
      <c r="AZ198">
        <v>0</v>
      </c>
      <c r="BA198">
        <v>203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Y198*Source!I202</f>
        <v>0.019678799999999996</v>
      </c>
      <c r="CY198">
        <f t="shared" si="41"/>
        <v>1040.58</v>
      </c>
      <c r="CZ198">
        <f t="shared" si="42"/>
        <v>134.79</v>
      </c>
      <c r="DA198">
        <f t="shared" si="43"/>
        <v>7.72</v>
      </c>
      <c r="DB198">
        <f t="shared" si="39"/>
        <v>576.63</v>
      </c>
      <c r="DC198">
        <f t="shared" si="40"/>
        <v>48.26</v>
      </c>
    </row>
    <row r="199" spans="1:107" ht="12.75">
      <c r="A199">
        <f>ROW(Source!A202)</f>
        <v>202</v>
      </c>
      <c r="B199">
        <v>44571020</v>
      </c>
      <c r="C199">
        <v>44579038</v>
      </c>
      <c r="D199">
        <v>13903845</v>
      </c>
      <c r="E199">
        <v>1</v>
      </c>
      <c r="F199">
        <v>1</v>
      </c>
      <c r="G199">
        <v>1</v>
      </c>
      <c r="H199">
        <v>2</v>
      </c>
      <c r="I199" t="s">
        <v>623</v>
      </c>
      <c r="J199" t="s">
        <v>624</v>
      </c>
      <c r="K199" t="s">
        <v>625</v>
      </c>
      <c r="L199">
        <v>1368</v>
      </c>
      <c r="N199">
        <v>1011</v>
      </c>
      <c r="O199" t="s">
        <v>453</v>
      </c>
      <c r="P199" t="s">
        <v>453</v>
      </c>
      <c r="Q199">
        <v>1</v>
      </c>
      <c r="W199">
        <v>0</v>
      </c>
      <c r="X199">
        <v>817583148</v>
      </c>
      <c r="Y199">
        <v>1.5869999999999997</v>
      </c>
      <c r="AA199">
        <v>0</v>
      </c>
      <c r="AB199">
        <v>18.84</v>
      </c>
      <c r="AC199">
        <v>0</v>
      </c>
      <c r="AD199">
        <v>0</v>
      </c>
      <c r="AE199">
        <v>0</v>
      </c>
      <c r="AF199">
        <v>2.44</v>
      </c>
      <c r="AG199">
        <v>0</v>
      </c>
      <c r="AH199">
        <v>0</v>
      </c>
      <c r="AI199">
        <v>1</v>
      </c>
      <c r="AJ199">
        <v>7.72</v>
      </c>
      <c r="AK199">
        <v>28.93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T199">
        <v>1.15</v>
      </c>
      <c r="AU199" t="s">
        <v>86</v>
      </c>
      <c r="AV199">
        <v>0</v>
      </c>
      <c r="AW199">
        <v>2</v>
      </c>
      <c r="AX199">
        <v>44579070</v>
      </c>
      <c r="AY199">
        <v>1</v>
      </c>
      <c r="AZ199">
        <v>0</v>
      </c>
      <c r="BA199">
        <v>204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Y199*Source!I202</f>
        <v>0.007300199999999999</v>
      </c>
      <c r="CY199">
        <f t="shared" si="41"/>
        <v>18.84</v>
      </c>
      <c r="CZ199">
        <f t="shared" si="42"/>
        <v>2.44</v>
      </c>
      <c r="DA199">
        <f t="shared" si="43"/>
        <v>7.72</v>
      </c>
      <c r="DB199">
        <f t="shared" si="39"/>
        <v>3.88</v>
      </c>
      <c r="DC199">
        <f t="shared" si="40"/>
        <v>0</v>
      </c>
    </row>
    <row r="200" spans="1:107" ht="12.75">
      <c r="A200">
        <f>ROW(Source!A202)</f>
        <v>202</v>
      </c>
      <c r="B200">
        <v>44571020</v>
      </c>
      <c r="C200">
        <v>44579038</v>
      </c>
      <c r="D200">
        <v>13904113</v>
      </c>
      <c r="E200">
        <v>1</v>
      </c>
      <c r="F200">
        <v>1</v>
      </c>
      <c r="G200">
        <v>1</v>
      </c>
      <c r="H200">
        <v>2</v>
      </c>
      <c r="I200" t="s">
        <v>678</v>
      </c>
      <c r="J200" t="s">
        <v>679</v>
      </c>
      <c r="K200" t="s">
        <v>680</v>
      </c>
      <c r="L200">
        <v>1368</v>
      </c>
      <c r="N200">
        <v>1011</v>
      </c>
      <c r="O200" t="s">
        <v>453</v>
      </c>
      <c r="P200" t="s">
        <v>453</v>
      </c>
      <c r="Q200">
        <v>1</v>
      </c>
      <c r="W200">
        <v>0</v>
      </c>
      <c r="X200">
        <v>1949110842</v>
      </c>
      <c r="Y200">
        <v>2.8151999999999995</v>
      </c>
      <c r="AA200">
        <v>0</v>
      </c>
      <c r="AB200">
        <v>6535.29</v>
      </c>
      <c r="AC200">
        <v>462.3</v>
      </c>
      <c r="AD200">
        <v>0</v>
      </c>
      <c r="AE200">
        <v>0</v>
      </c>
      <c r="AF200">
        <v>846.54</v>
      </c>
      <c r="AG200">
        <v>15.98</v>
      </c>
      <c r="AH200">
        <v>0</v>
      </c>
      <c r="AI200">
        <v>1</v>
      </c>
      <c r="AJ200">
        <v>7.72</v>
      </c>
      <c r="AK200">
        <v>28.93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T200">
        <v>2.04</v>
      </c>
      <c r="AU200" t="s">
        <v>86</v>
      </c>
      <c r="AV200">
        <v>0</v>
      </c>
      <c r="AW200">
        <v>2</v>
      </c>
      <c r="AX200">
        <v>44579071</v>
      </c>
      <c r="AY200">
        <v>1</v>
      </c>
      <c r="AZ200">
        <v>0</v>
      </c>
      <c r="BA200">
        <v>205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Y200*Source!I202</f>
        <v>0.012949919999999997</v>
      </c>
      <c r="CY200">
        <f t="shared" si="41"/>
        <v>6535.29</v>
      </c>
      <c r="CZ200">
        <f t="shared" si="42"/>
        <v>846.54</v>
      </c>
      <c r="DA200">
        <f t="shared" si="43"/>
        <v>7.72</v>
      </c>
      <c r="DB200">
        <f t="shared" si="39"/>
        <v>2383.18</v>
      </c>
      <c r="DC200">
        <f t="shared" si="40"/>
        <v>44.99</v>
      </c>
    </row>
    <row r="201" spans="1:107" ht="12.75">
      <c r="A201">
        <f>ROW(Source!A202)</f>
        <v>202</v>
      </c>
      <c r="B201">
        <v>44571020</v>
      </c>
      <c r="C201">
        <v>44579038</v>
      </c>
      <c r="D201">
        <v>13904114</v>
      </c>
      <c r="E201">
        <v>1</v>
      </c>
      <c r="F201">
        <v>1</v>
      </c>
      <c r="G201">
        <v>1</v>
      </c>
      <c r="H201">
        <v>2</v>
      </c>
      <c r="I201" t="s">
        <v>681</v>
      </c>
      <c r="J201" t="s">
        <v>682</v>
      </c>
      <c r="K201" t="s">
        <v>683</v>
      </c>
      <c r="L201">
        <v>1368</v>
      </c>
      <c r="N201">
        <v>1011</v>
      </c>
      <c r="O201" t="s">
        <v>453</v>
      </c>
      <c r="P201" t="s">
        <v>453</v>
      </c>
      <c r="Q201">
        <v>1</v>
      </c>
      <c r="W201">
        <v>0</v>
      </c>
      <c r="X201">
        <v>353832726</v>
      </c>
      <c r="Y201">
        <v>2.8151999999999995</v>
      </c>
      <c r="AA201">
        <v>0</v>
      </c>
      <c r="AB201">
        <v>179.41</v>
      </c>
      <c r="AC201">
        <v>0</v>
      </c>
      <c r="AD201">
        <v>0</v>
      </c>
      <c r="AE201">
        <v>0</v>
      </c>
      <c r="AF201">
        <v>23.24</v>
      </c>
      <c r="AG201">
        <v>0</v>
      </c>
      <c r="AH201">
        <v>0</v>
      </c>
      <c r="AI201">
        <v>1</v>
      </c>
      <c r="AJ201">
        <v>7.72</v>
      </c>
      <c r="AK201">
        <v>28.93</v>
      </c>
      <c r="AL201">
        <v>1</v>
      </c>
      <c r="AN201">
        <v>0</v>
      </c>
      <c r="AO201">
        <v>1</v>
      </c>
      <c r="AP201">
        <v>1</v>
      </c>
      <c r="AQ201">
        <v>0</v>
      </c>
      <c r="AR201">
        <v>0</v>
      </c>
      <c r="AT201">
        <v>2.04</v>
      </c>
      <c r="AU201" t="s">
        <v>86</v>
      </c>
      <c r="AV201">
        <v>0</v>
      </c>
      <c r="AW201">
        <v>2</v>
      </c>
      <c r="AX201">
        <v>44579072</v>
      </c>
      <c r="AY201">
        <v>1</v>
      </c>
      <c r="AZ201">
        <v>0</v>
      </c>
      <c r="BA201">
        <v>206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Y201*Source!I202</f>
        <v>0.012949919999999997</v>
      </c>
      <c r="CY201">
        <f t="shared" si="41"/>
        <v>179.41</v>
      </c>
      <c r="CZ201">
        <f t="shared" si="42"/>
        <v>23.24</v>
      </c>
      <c r="DA201">
        <f t="shared" si="43"/>
        <v>7.72</v>
      </c>
      <c r="DB201">
        <f t="shared" si="39"/>
        <v>65.43</v>
      </c>
      <c r="DC201">
        <f t="shared" si="40"/>
        <v>0</v>
      </c>
    </row>
    <row r="202" spans="1:107" ht="12.75">
      <c r="A202">
        <f>ROW(Source!A202)</f>
        <v>202</v>
      </c>
      <c r="B202">
        <v>44571020</v>
      </c>
      <c r="C202">
        <v>44579038</v>
      </c>
      <c r="D202">
        <v>13904115</v>
      </c>
      <c r="E202">
        <v>1</v>
      </c>
      <c r="F202">
        <v>1</v>
      </c>
      <c r="G202">
        <v>1</v>
      </c>
      <c r="H202">
        <v>2</v>
      </c>
      <c r="I202" t="s">
        <v>684</v>
      </c>
      <c r="J202" t="s">
        <v>685</v>
      </c>
      <c r="K202" t="s">
        <v>686</v>
      </c>
      <c r="L202">
        <v>1368</v>
      </c>
      <c r="N202">
        <v>1011</v>
      </c>
      <c r="O202" t="s">
        <v>453</v>
      </c>
      <c r="P202" t="s">
        <v>453</v>
      </c>
      <c r="Q202">
        <v>1</v>
      </c>
      <c r="W202">
        <v>0</v>
      </c>
      <c r="X202">
        <v>166752838</v>
      </c>
      <c r="Y202">
        <v>2.0837999999999997</v>
      </c>
      <c r="AA202">
        <v>0</v>
      </c>
      <c r="AB202">
        <v>2774.26</v>
      </c>
      <c r="AC202">
        <v>379.56</v>
      </c>
      <c r="AD202">
        <v>0</v>
      </c>
      <c r="AE202">
        <v>0</v>
      </c>
      <c r="AF202">
        <v>359.36</v>
      </c>
      <c r="AG202">
        <v>13.12</v>
      </c>
      <c r="AH202">
        <v>0</v>
      </c>
      <c r="AI202">
        <v>1</v>
      </c>
      <c r="AJ202">
        <v>7.72</v>
      </c>
      <c r="AK202">
        <v>28.93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T202">
        <v>1.51</v>
      </c>
      <c r="AU202" t="s">
        <v>86</v>
      </c>
      <c r="AV202">
        <v>0</v>
      </c>
      <c r="AW202">
        <v>2</v>
      </c>
      <c r="AX202">
        <v>44579073</v>
      </c>
      <c r="AY202">
        <v>1</v>
      </c>
      <c r="AZ202">
        <v>0</v>
      </c>
      <c r="BA202">
        <v>207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Y202*Source!I202</f>
        <v>0.009585479999999999</v>
      </c>
      <c r="CY202">
        <f t="shared" si="41"/>
        <v>2774.26</v>
      </c>
      <c r="CZ202">
        <f t="shared" si="42"/>
        <v>359.36</v>
      </c>
      <c r="DA202">
        <f t="shared" si="43"/>
        <v>7.72</v>
      </c>
      <c r="DB202">
        <f t="shared" si="39"/>
        <v>748.83</v>
      </c>
      <c r="DC202">
        <f t="shared" si="40"/>
        <v>27.34</v>
      </c>
    </row>
    <row r="203" spans="1:107" ht="12.75">
      <c r="A203">
        <f>ROW(Source!A202)</f>
        <v>202</v>
      </c>
      <c r="B203">
        <v>44571020</v>
      </c>
      <c r="C203">
        <v>44579038</v>
      </c>
      <c r="D203">
        <v>13904116</v>
      </c>
      <c r="E203">
        <v>1</v>
      </c>
      <c r="F203">
        <v>1</v>
      </c>
      <c r="G203">
        <v>1</v>
      </c>
      <c r="H203">
        <v>2</v>
      </c>
      <c r="I203" t="s">
        <v>687</v>
      </c>
      <c r="J203" t="s">
        <v>688</v>
      </c>
      <c r="K203" t="s">
        <v>689</v>
      </c>
      <c r="L203">
        <v>1368</v>
      </c>
      <c r="N203">
        <v>1011</v>
      </c>
      <c r="O203" t="s">
        <v>453</v>
      </c>
      <c r="P203" t="s">
        <v>453</v>
      </c>
      <c r="Q203">
        <v>1</v>
      </c>
      <c r="W203">
        <v>0</v>
      </c>
      <c r="X203">
        <v>1707990375</v>
      </c>
      <c r="Y203">
        <v>3.5741999999999994</v>
      </c>
      <c r="AA203">
        <v>0</v>
      </c>
      <c r="AB203">
        <v>1103.03</v>
      </c>
      <c r="AC203">
        <v>379.56</v>
      </c>
      <c r="AD203">
        <v>0</v>
      </c>
      <c r="AE203">
        <v>0</v>
      </c>
      <c r="AF203">
        <v>142.88</v>
      </c>
      <c r="AG203">
        <v>13.12</v>
      </c>
      <c r="AH203">
        <v>0</v>
      </c>
      <c r="AI203">
        <v>1</v>
      </c>
      <c r="AJ203">
        <v>7.72</v>
      </c>
      <c r="AK203">
        <v>28.93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T203">
        <v>2.59</v>
      </c>
      <c r="AU203" t="s">
        <v>86</v>
      </c>
      <c r="AV203">
        <v>0</v>
      </c>
      <c r="AW203">
        <v>2</v>
      </c>
      <c r="AX203">
        <v>44579074</v>
      </c>
      <c r="AY203">
        <v>1</v>
      </c>
      <c r="AZ203">
        <v>0</v>
      </c>
      <c r="BA203">
        <v>208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Y203*Source!I202</f>
        <v>0.016441319999999995</v>
      </c>
      <c r="CY203">
        <f t="shared" si="41"/>
        <v>1103.03</v>
      </c>
      <c r="CZ203">
        <f t="shared" si="42"/>
        <v>142.88</v>
      </c>
      <c r="DA203">
        <f t="shared" si="43"/>
        <v>7.72</v>
      </c>
      <c r="DB203">
        <f t="shared" si="39"/>
        <v>510.68</v>
      </c>
      <c r="DC203">
        <f t="shared" si="40"/>
        <v>46.89</v>
      </c>
    </row>
    <row r="204" spans="1:107" ht="12.75">
      <c r="A204">
        <f>ROW(Source!A202)</f>
        <v>202</v>
      </c>
      <c r="B204">
        <v>44571020</v>
      </c>
      <c r="C204">
        <v>44579038</v>
      </c>
      <c r="D204">
        <v>13904117</v>
      </c>
      <c r="E204">
        <v>1</v>
      </c>
      <c r="F204">
        <v>1</v>
      </c>
      <c r="G204">
        <v>1</v>
      </c>
      <c r="H204">
        <v>2</v>
      </c>
      <c r="I204" t="s">
        <v>690</v>
      </c>
      <c r="J204" t="s">
        <v>691</v>
      </c>
      <c r="K204" t="s">
        <v>692</v>
      </c>
      <c r="L204">
        <v>1368</v>
      </c>
      <c r="N204">
        <v>1011</v>
      </c>
      <c r="O204" t="s">
        <v>453</v>
      </c>
      <c r="P204" t="s">
        <v>453</v>
      </c>
      <c r="Q204">
        <v>1</v>
      </c>
      <c r="W204">
        <v>0</v>
      </c>
      <c r="X204">
        <v>-920684672</v>
      </c>
      <c r="Y204">
        <v>2.9532</v>
      </c>
      <c r="AA204">
        <v>0</v>
      </c>
      <c r="AB204">
        <v>4413.99</v>
      </c>
      <c r="AC204">
        <v>379.56</v>
      </c>
      <c r="AD204">
        <v>0</v>
      </c>
      <c r="AE204">
        <v>0</v>
      </c>
      <c r="AF204">
        <v>571.76</v>
      </c>
      <c r="AG204">
        <v>13.12</v>
      </c>
      <c r="AH204">
        <v>0</v>
      </c>
      <c r="AI204">
        <v>1</v>
      </c>
      <c r="AJ204">
        <v>7.72</v>
      </c>
      <c r="AK204">
        <v>28.93</v>
      </c>
      <c r="AL204">
        <v>1</v>
      </c>
      <c r="AN204">
        <v>0</v>
      </c>
      <c r="AO204">
        <v>1</v>
      </c>
      <c r="AP204">
        <v>1</v>
      </c>
      <c r="AQ204">
        <v>0</v>
      </c>
      <c r="AR204">
        <v>0</v>
      </c>
      <c r="AT204">
        <v>2.14</v>
      </c>
      <c r="AU204" t="s">
        <v>86</v>
      </c>
      <c r="AV204">
        <v>0</v>
      </c>
      <c r="AW204">
        <v>2</v>
      </c>
      <c r="AX204">
        <v>44579075</v>
      </c>
      <c r="AY204">
        <v>1</v>
      </c>
      <c r="AZ204">
        <v>0</v>
      </c>
      <c r="BA204">
        <v>209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Y204*Source!I202</f>
        <v>0.01358472</v>
      </c>
      <c r="CY204">
        <f t="shared" si="41"/>
        <v>4413.99</v>
      </c>
      <c r="CZ204">
        <f t="shared" si="42"/>
        <v>571.76</v>
      </c>
      <c r="DA204">
        <f t="shared" si="43"/>
        <v>7.72</v>
      </c>
      <c r="DB204">
        <f t="shared" si="39"/>
        <v>1688.53</v>
      </c>
      <c r="DC204">
        <f t="shared" si="40"/>
        <v>38.75</v>
      </c>
    </row>
    <row r="205" spans="1:107" ht="12.75">
      <c r="A205">
        <f>ROW(Source!A202)</f>
        <v>202</v>
      </c>
      <c r="B205">
        <v>44571020</v>
      </c>
      <c r="C205">
        <v>44579038</v>
      </c>
      <c r="D205">
        <v>13904139</v>
      </c>
      <c r="E205">
        <v>1</v>
      </c>
      <c r="F205">
        <v>1</v>
      </c>
      <c r="G205">
        <v>1</v>
      </c>
      <c r="H205">
        <v>2</v>
      </c>
      <c r="I205" t="s">
        <v>693</v>
      </c>
      <c r="J205" t="s">
        <v>694</v>
      </c>
      <c r="K205" t="s">
        <v>695</v>
      </c>
      <c r="L205">
        <v>1368</v>
      </c>
      <c r="N205">
        <v>1011</v>
      </c>
      <c r="O205" t="s">
        <v>453</v>
      </c>
      <c r="P205" t="s">
        <v>453</v>
      </c>
      <c r="Q205">
        <v>1</v>
      </c>
      <c r="W205">
        <v>0</v>
      </c>
      <c r="X205">
        <v>-257196907</v>
      </c>
      <c r="Y205">
        <v>5.1198</v>
      </c>
      <c r="AA205">
        <v>0</v>
      </c>
      <c r="AB205">
        <v>1864.38</v>
      </c>
      <c r="AC205">
        <v>282.94</v>
      </c>
      <c r="AD205">
        <v>0</v>
      </c>
      <c r="AE205">
        <v>0</v>
      </c>
      <c r="AF205">
        <v>241.5</v>
      </c>
      <c r="AG205">
        <v>9.78</v>
      </c>
      <c r="AH205">
        <v>0</v>
      </c>
      <c r="AI205">
        <v>1</v>
      </c>
      <c r="AJ205">
        <v>7.72</v>
      </c>
      <c r="AK205">
        <v>28.93</v>
      </c>
      <c r="AL205">
        <v>1</v>
      </c>
      <c r="AN205">
        <v>0</v>
      </c>
      <c r="AO205">
        <v>1</v>
      </c>
      <c r="AP205">
        <v>1</v>
      </c>
      <c r="AQ205">
        <v>0</v>
      </c>
      <c r="AR205">
        <v>0</v>
      </c>
      <c r="AT205">
        <v>3.71</v>
      </c>
      <c r="AU205" t="s">
        <v>86</v>
      </c>
      <c r="AV205">
        <v>0</v>
      </c>
      <c r="AW205">
        <v>2</v>
      </c>
      <c r="AX205">
        <v>44579076</v>
      </c>
      <c r="AY205">
        <v>1</v>
      </c>
      <c r="AZ205">
        <v>0</v>
      </c>
      <c r="BA205">
        <v>210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Y205*Source!I202</f>
        <v>0.02355108</v>
      </c>
      <c r="CY205">
        <f t="shared" si="41"/>
        <v>1864.38</v>
      </c>
      <c r="CZ205">
        <f t="shared" si="42"/>
        <v>241.5</v>
      </c>
      <c r="DA205">
        <f t="shared" si="43"/>
        <v>7.72</v>
      </c>
      <c r="DB205">
        <f t="shared" si="39"/>
        <v>1236.44</v>
      </c>
      <c r="DC205">
        <f t="shared" si="40"/>
        <v>50.07</v>
      </c>
    </row>
    <row r="206" spans="1:107" ht="12.75">
      <c r="A206">
        <f>ROW(Source!A202)</f>
        <v>202</v>
      </c>
      <c r="B206">
        <v>44571020</v>
      </c>
      <c r="C206">
        <v>44579038</v>
      </c>
      <c r="D206">
        <v>13904182</v>
      </c>
      <c r="E206">
        <v>1</v>
      </c>
      <c r="F206">
        <v>1</v>
      </c>
      <c r="G206">
        <v>1</v>
      </c>
      <c r="H206">
        <v>2</v>
      </c>
      <c r="I206" t="s">
        <v>696</v>
      </c>
      <c r="J206" t="s">
        <v>697</v>
      </c>
      <c r="K206" t="s">
        <v>698</v>
      </c>
      <c r="L206">
        <v>1368</v>
      </c>
      <c r="N206">
        <v>1011</v>
      </c>
      <c r="O206" t="s">
        <v>453</v>
      </c>
      <c r="P206" t="s">
        <v>453</v>
      </c>
      <c r="Q206">
        <v>1</v>
      </c>
      <c r="W206">
        <v>0</v>
      </c>
      <c r="X206">
        <v>-44390238</v>
      </c>
      <c r="Y206">
        <v>2.0975999999999995</v>
      </c>
      <c r="AA206">
        <v>0</v>
      </c>
      <c r="AB206">
        <v>384.22</v>
      </c>
      <c r="AC206">
        <v>0</v>
      </c>
      <c r="AD206">
        <v>0</v>
      </c>
      <c r="AE206">
        <v>0</v>
      </c>
      <c r="AF206">
        <v>49.77</v>
      </c>
      <c r="AG206">
        <v>0</v>
      </c>
      <c r="AH206">
        <v>0</v>
      </c>
      <c r="AI206">
        <v>1</v>
      </c>
      <c r="AJ206">
        <v>7.72</v>
      </c>
      <c r="AK206">
        <v>28.93</v>
      </c>
      <c r="AL206">
        <v>1</v>
      </c>
      <c r="AN206">
        <v>0</v>
      </c>
      <c r="AO206">
        <v>1</v>
      </c>
      <c r="AP206">
        <v>1</v>
      </c>
      <c r="AQ206">
        <v>0</v>
      </c>
      <c r="AR206">
        <v>0</v>
      </c>
      <c r="AT206">
        <v>1.52</v>
      </c>
      <c r="AU206" t="s">
        <v>86</v>
      </c>
      <c r="AV206">
        <v>0</v>
      </c>
      <c r="AW206">
        <v>2</v>
      </c>
      <c r="AX206">
        <v>44579077</v>
      </c>
      <c r="AY206">
        <v>1</v>
      </c>
      <c r="AZ206">
        <v>0</v>
      </c>
      <c r="BA206">
        <v>211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Y206*Source!I202</f>
        <v>0.009648959999999998</v>
      </c>
      <c r="CY206">
        <f t="shared" si="41"/>
        <v>384.22</v>
      </c>
      <c r="CZ206">
        <f t="shared" si="42"/>
        <v>49.77</v>
      </c>
      <c r="DA206">
        <f t="shared" si="43"/>
        <v>7.72</v>
      </c>
      <c r="DB206">
        <f t="shared" si="39"/>
        <v>104.4</v>
      </c>
      <c r="DC206">
        <f t="shared" si="40"/>
        <v>0</v>
      </c>
    </row>
    <row r="207" spans="1:107" ht="12.75">
      <c r="A207">
        <f>ROW(Source!A202)</f>
        <v>202</v>
      </c>
      <c r="B207">
        <v>44571020</v>
      </c>
      <c r="C207">
        <v>44579038</v>
      </c>
      <c r="D207">
        <v>13904256</v>
      </c>
      <c r="E207">
        <v>1</v>
      </c>
      <c r="F207">
        <v>1</v>
      </c>
      <c r="G207">
        <v>1</v>
      </c>
      <c r="H207">
        <v>2</v>
      </c>
      <c r="I207" t="s">
        <v>699</v>
      </c>
      <c r="J207" t="s">
        <v>700</v>
      </c>
      <c r="K207" t="s">
        <v>701</v>
      </c>
      <c r="L207">
        <v>1368</v>
      </c>
      <c r="N207">
        <v>1011</v>
      </c>
      <c r="O207" t="s">
        <v>453</v>
      </c>
      <c r="P207" t="s">
        <v>453</v>
      </c>
      <c r="Q207">
        <v>1</v>
      </c>
      <c r="W207">
        <v>0</v>
      </c>
      <c r="X207">
        <v>-764725011</v>
      </c>
      <c r="Y207">
        <v>0.27599999999999997</v>
      </c>
      <c r="AA207">
        <v>0</v>
      </c>
      <c r="AB207">
        <v>1057.33</v>
      </c>
      <c r="AC207">
        <v>0</v>
      </c>
      <c r="AD207">
        <v>0</v>
      </c>
      <c r="AE207">
        <v>0</v>
      </c>
      <c r="AF207">
        <v>136.96</v>
      </c>
      <c r="AG207">
        <v>0</v>
      </c>
      <c r="AH207">
        <v>0</v>
      </c>
      <c r="AI207">
        <v>1</v>
      </c>
      <c r="AJ207">
        <v>7.72</v>
      </c>
      <c r="AK207">
        <v>28.93</v>
      </c>
      <c r="AL207">
        <v>1</v>
      </c>
      <c r="AN207">
        <v>0</v>
      </c>
      <c r="AO207">
        <v>1</v>
      </c>
      <c r="AP207">
        <v>1</v>
      </c>
      <c r="AQ207">
        <v>0</v>
      </c>
      <c r="AR207">
        <v>0</v>
      </c>
      <c r="AT207">
        <v>0.2</v>
      </c>
      <c r="AU207" t="s">
        <v>86</v>
      </c>
      <c r="AV207">
        <v>0</v>
      </c>
      <c r="AW207">
        <v>2</v>
      </c>
      <c r="AX207">
        <v>44579078</v>
      </c>
      <c r="AY207">
        <v>1</v>
      </c>
      <c r="AZ207">
        <v>0</v>
      </c>
      <c r="BA207">
        <v>212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Y207*Source!I202</f>
        <v>0.0012695999999999999</v>
      </c>
      <c r="CY207">
        <f t="shared" si="41"/>
        <v>1057.33</v>
      </c>
      <c r="CZ207">
        <f t="shared" si="42"/>
        <v>136.96</v>
      </c>
      <c r="DA207">
        <f t="shared" si="43"/>
        <v>7.72</v>
      </c>
      <c r="DB207">
        <f t="shared" si="39"/>
        <v>37.8</v>
      </c>
      <c r="DC207">
        <f t="shared" si="40"/>
        <v>0</v>
      </c>
    </row>
    <row r="208" spans="1:107" ht="12.75">
      <c r="A208">
        <f>ROW(Source!A202)</f>
        <v>202</v>
      </c>
      <c r="B208">
        <v>44571020</v>
      </c>
      <c r="C208">
        <v>44579038</v>
      </c>
      <c r="D208">
        <v>13906127</v>
      </c>
      <c r="E208">
        <v>1</v>
      </c>
      <c r="F208">
        <v>1</v>
      </c>
      <c r="G208">
        <v>1</v>
      </c>
      <c r="H208">
        <v>3</v>
      </c>
      <c r="I208" t="s">
        <v>702</v>
      </c>
      <c r="J208" t="s">
        <v>703</v>
      </c>
      <c r="K208" t="s">
        <v>704</v>
      </c>
      <c r="L208">
        <v>1348</v>
      </c>
      <c r="N208">
        <v>1009</v>
      </c>
      <c r="O208" t="s">
        <v>322</v>
      </c>
      <c r="P208" t="s">
        <v>322</v>
      </c>
      <c r="Q208">
        <v>1000</v>
      </c>
      <c r="W208">
        <v>0</v>
      </c>
      <c r="X208">
        <v>-484291971</v>
      </c>
      <c r="Y208">
        <v>0.0008</v>
      </c>
      <c r="AA208">
        <v>47554.02</v>
      </c>
      <c r="AB208">
        <v>0</v>
      </c>
      <c r="AC208">
        <v>0</v>
      </c>
      <c r="AD208">
        <v>0</v>
      </c>
      <c r="AE208">
        <v>9233.79</v>
      </c>
      <c r="AF208">
        <v>0</v>
      </c>
      <c r="AG208">
        <v>0</v>
      </c>
      <c r="AH208">
        <v>0</v>
      </c>
      <c r="AI208">
        <v>5.15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T208">
        <v>0.0008</v>
      </c>
      <c r="AV208">
        <v>0</v>
      </c>
      <c r="AW208">
        <v>2</v>
      </c>
      <c r="AX208">
        <v>44579079</v>
      </c>
      <c r="AY208">
        <v>1</v>
      </c>
      <c r="AZ208">
        <v>0</v>
      </c>
      <c r="BA208">
        <v>213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Y208*Source!I202</f>
        <v>3.68E-06</v>
      </c>
      <c r="CY208">
        <f aca="true" t="shared" si="44" ref="CY208:CY215">AA208</f>
        <v>47554.02</v>
      </c>
      <c r="CZ208">
        <f aca="true" t="shared" si="45" ref="CZ208:CZ215">AE208</f>
        <v>9233.79</v>
      </c>
      <c r="DA208">
        <f aca="true" t="shared" si="46" ref="DA208:DA215">AI208</f>
        <v>5.15</v>
      </c>
      <c r="DB208">
        <f aca="true" t="shared" si="47" ref="DB208:DB215">ROUND(ROUND(AT208*CZ208,2),2)</f>
        <v>7.39</v>
      </c>
      <c r="DC208">
        <f aca="true" t="shared" si="48" ref="DC208:DC215">ROUND(ROUND(AT208*AG208,2),2)</f>
        <v>0</v>
      </c>
    </row>
    <row r="209" spans="1:107" ht="12.75">
      <c r="A209">
        <f>ROW(Source!A202)</f>
        <v>202</v>
      </c>
      <c r="B209">
        <v>44571020</v>
      </c>
      <c r="C209">
        <v>44579038</v>
      </c>
      <c r="D209">
        <v>13907356</v>
      </c>
      <c r="E209">
        <v>1</v>
      </c>
      <c r="F209">
        <v>1</v>
      </c>
      <c r="G209">
        <v>1</v>
      </c>
      <c r="H209">
        <v>3</v>
      </c>
      <c r="I209" t="s">
        <v>705</v>
      </c>
      <c r="J209" t="s">
        <v>706</v>
      </c>
      <c r="K209" t="s">
        <v>707</v>
      </c>
      <c r="L209">
        <v>1354</v>
      </c>
      <c r="N209">
        <v>1010</v>
      </c>
      <c r="O209" t="s">
        <v>348</v>
      </c>
      <c r="P209" t="s">
        <v>348</v>
      </c>
      <c r="Q209">
        <v>1</v>
      </c>
      <c r="W209">
        <v>0</v>
      </c>
      <c r="X209">
        <v>-1907685076</v>
      </c>
      <c r="Y209">
        <v>0.782</v>
      </c>
      <c r="AA209">
        <v>46740.68</v>
      </c>
      <c r="AB209">
        <v>0</v>
      </c>
      <c r="AC209">
        <v>0</v>
      </c>
      <c r="AD209">
        <v>0</v>
      </c>
      <c r="AE209">
        <v>9075.86</v>
      </c>
      <c r="AF209">
        <v>0</v>
      </c>
      <c r="AG209">
        <v>0</v>
      </c>
      <c r="AH209">
        <v>0</v>
      </c>
      <c r="AI209">
        <v>5.15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0.782</v>
      </c>
      <c r="AV209">
        <v>0</v>
      </c>
      <c r="AW209">
        <v>2</v>
      </c>
      <c r="AX209">
        <v>44579080</v>
      </c>
      <c r="AY209">
        <v>1</v>
      </c>
      <c r="AZ209">
        <v>0</v>
      </c>
      <c r="BA209">
        <v>214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Y209*Source!I202</f>
        <v>0.0035972</v>
      </c>
      <c r="CY209">
        <f t="shared" si="44"/>
        <v>46740.68</v>
      </c>
      <c r="CZ209">
        <f t="shared" si="45"/>
        <v>9075.86</v>
      </c>
      <c r="DA209">
        <f t="shared" si="46"/>
        <v>5.15</v>
      </c>
      <c r="DB209">
        <f t="shared" si="47"/>
        <v>7097.32</v>
      </c>
      <c r="DC209">
        <f t="shared" si="48"/>
        <v>0</v>
      </c>
    </row>
    <row r="210" spans="1:107" ht="12.75">
      <c r="A210">
        <f>ROW(Source!A202)</f>
        <v>202</v>
      </c>
      <c r="B210">
        <v>44571020</v>
      </c>
      <c r="C210">
        <v>44579038</v>
      </c>
      <c r="D210">
        <v>13907379</v>
      </c>
      <c r="E210">
        <v>1</v>
      </c>
      <c r="F210">
        <v>1</v>
      </c>
      <c r="G210">
        <v>1</v>
      </c>
      <c r="H210">
        <v>3</v>
      </c>
      <c r="I210" t="s">
        <v>708</v>
      </c>
      <c r="J210" t="s">
        <v>709</v>
      </c>
      <c r="K210" t="s">
        <v>710</v>
      </c>
      <c r="L210">
        <v>1348</v>
      </c>
      <c r="N210">
        <v>1009</v>
      </c>
      <c r="O210" t="s">
        <v>322</v>
      </c>
      <c r="P210" t="s">
        <v>322</v>
      </c>
      <c r="Q210">
        <v>1000</v>
      </c>
      <c r="W210">
        <v>0</v>
      </c>
      <c r="X210">
        <v>1477953555</v>
      </c>
      <c r="Y210">
        <v>0.0024</v>
      </c>
      <c r="AA210">
        <v>61800</v>
      </c>
      <c r="AB210">
        <v>0</v>
      </c>
      <c r="AC210">
        <v>0</v>
      </c>
      <c r="AD210">
        <v>0</v>
      </c>
      <c r="AE210">
        <v>12000</v>
      </c>
      <c r="AF210">
        <v>0</v>
      </c>
      <c r="AG210">
        <v>0</v>
      </c>
      <c r="AH210">
        <v>0</v>
      </c>
      <c r="AI210">
        <v>5.15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0.0024</v>
      </c>
      <c r="AV210">
        <v>0</v>
      </c>
      <c r="AW210">
        <v>2</v>
      </c>
      <c r="AX210">
        <v>44579081</v>
      </c>
      <c r="AY210">
        <v>1</v>
      </c>
      <c r="AZ210">
        <v>0</v>
      </c>
      <c r="BA210">
        <v>215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Y210*Source!I202</f>
        <v>1.104E-05</v>
      </c>
      <c r="CY210">
        <f t="shared" si="44"/>
        <v>61800</v>
      </c>
      <c r="CZ210">
        <f t="shared" si="45"/>
        <v>12000</v>
      </c>
      <c r="DA210">
        <f t="shared" si="46"/>
        <v>5.15</v>
      </c>
      <c r="DB210">
        <f t="shared" si="47"/>
        <v>28.8</v>
      </c>
      <c r="DC210">
        <f t="shared" si="48"/>
        <v>0</v>
      </c>
    </row>
    <row r="211" spans="1:107" ht="12.75">
      <c r="A211">
        <f>ROW(Source!A202)</f>
        <v>202</v>
      </c>
      <c r="B211">
        <v>44571020</v>
      </c>
      <c r="C211">
        <v>44579038</v>
      </c>
      <c r="D211">
        <v>13907503</v>
      </c>
      <c r="E211">
        <v>1</v>
      </c>
      <c r="F211">
        <v>1</v>
      </c>
      <c r="G211">
        <v>1</v>
      </c>
      <c r="H211">
        <v>3</v>
      </c>
      <c r="I211" t="s">
        <v>711</v>
      </c>
      <c r="J211" t="s">
        <v>712</v>
      </c>
      <c r="K211" t="s">
        <v>713</v>
      </c>
      <c r="L211">
        <v>1348</v>
      </c>
      <c r="N211">
        <v>1009</v>
      </c>
      <c r="O211" t="s">
        <v>322</v>
      </c>
      <c r="P211" t="s">
        <v>322</v>
      </c>
      <c r="Q211">
        <v>1000</v>
      </c>
      <c r="W211">
        <v>0</v>
      </c>
      <c r="X211">
        <v>404800933</v>
      </c>
      <c r="Y211">
        <v>0.004</v>
      </c>
      <c r="AA211">
        <v>16630.64</v>
      </c>
      <c r="AB211">
        <v>0</v>
      </c>
      <c r="AC211">
        <v>0</v>
      </c>
      <c r="AD211">
        <v>0</v>
      </c>
      <c r="AE211">
        <v>3229.25</v>
      </c>
      <c r="AF211">
        <v>0</v>
      </c>
      <c r="AG211">
        <v>0</v>
      </c>
      <c r="AH211">
        <v>0</v>
      </c>
      <c r="AI211">
        <v>5.15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0.004</v>
      </c>
      <c r="AV211">
        <v>0</v>
      </c>
      <c r="AW211">
        <v>2</v>
      </c>
      <c r="AX211">
        <v>44579082</v>
      </c>
      <c r="AY211">
        <v>1</v>
      </c>
      <c r="AZ211">
        <v>0</v>
      </c>
      <c r="BA211">
        <v>216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Y211*Source!I202</f>
        <v>1.84E-05</v>
      </c>
      <c r="CY211">
        <f t="shared" si="44"/>
        <v>16630.64</v>
      </c>
      <c r="CZ211">
        <f t="shared" si="45"/>
        <v>3229.25</v>
      </c>
      <c r="DA211">
        <f t="shared" si="46"/>
        <v>5.15</v>
      </c>
      <c r="DB211">
        <f t="shared" si="47"/>
        <v>12.92</v>
      </c>
      <c r="DC211">
        <f t="shared" si="48"/>
        <v>0</v>
      </c>
    </row>
    <row r="212" spans="1:107" ht="12.75">
      <c r="A212">
        <f>ROW(Source!A202)</f>
        <v>202</v>
      </c>
      <c r="B212">
        <v>44571020</v>
      </c>
      <c r="C212">
        <v>44579038</v>
      </c>
      <c r="D212">
        <v>13907653</v>
      </c>
      <c r="E212">
        <v>1</v>
      </c>
      <c r="F212">
        <v>1</v>
      </c>
      <c r="G212">
        <v>1</v>
      </c>
      <c r="H212">
        <v>3</v>
      </c>
      <c r="I212" t="s">
        <v>714</v>
      </c>
      <c r="J212" t="s">
        <v>715</v>
      </c>
      <c r="K212" t="s">
        <v>716</v>
      </c>
      <c r="L212">
        <v>1348</v>
      </c>
      <c r="N212">
        <v>1009</v>
      </c>
      <c r="O212" t="s">
        <v>322</v>
      </c>
      <c r="P212" t="s">
        <v>322</v>
      </c>
      <c r="Q212">
        <v>1000</v>
      </c>
      <c r="W212">
        <v>0</v>
      </c>
      <c r="X212">
        <v>-2065085059</v>
      </c>
      <c r="Y212">
        <v>0.012</v>
      </c>
      <c r="AA212">
        <v>57754.78</v>
      </c>
      <c r="AB212">
        <v>0</v>
      </c>
      <c r="AC212">
        <v>0</v>
      </c>
      <c r="AD212">
        <v>0</v>
      </c>
      <c r="AE212">
        <v>11214.52</v>
      </c>
      <c r="AF212">
        <v>0</v>
      </c>
      <c r="AG212">
        <v>0</v>
      </c>
      <c r="AH212">
        <v>0</v>
      </c>
      <c r="AI212">
        <v>5.15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0.012</v>
      </c>
      <c r="AV212">
        <v>0</v>
      </c>
      <c r="AW212">
        <v>2</v>
      </c>
      <c r="AX212">
        <v>44579083</v>
      </c>
      <c r="AY212">
        <v>1</v>
      </c>
      <c r="AZ212">
        <v>0</v>
      </c>
      <c r="BA212">
        <v>217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Y212*Source!I202</f>
        <v>5.52E-05</v>
      </c>
      <c r="CY212">
        <f t="shared" si="44"/>
        <v>57754.78</v>
      </c>
      <c r="CZ212">
        <f t="shared" si="45"/>
        <v>11214.52</v>
      </c>
      <c r="DA212">
        <f t="shared" si="46"/>
        <v>5.15</v>
      </c>
      <c r="DB212">
        <f t="shared" si="47"/>
        <v>134.57</v>
      </c>
      <c r="DC212">
        <f t="shared" si="48"/>
        <v>0</v>
      </c>
    </row>
    <row r="213" spans="1:107" ht="12.75">
      <c r="A213">
        <f>ROW(Source!A202)</f>
        <v>202</v>
      </c>
      <c r="B213">
        <v>44571020</v>
      </c>
      <c r="C213">
        <v>44579038</v>
      </c>
      <c r="D213">
        <v>13944721</v>
      </c>
      <c r="E213">
        <v>1</v>
      </c>
      <c r="F213">
        <v>1</v>
      </c>
      <c r="G213">
        <v>1</v>
      </c>
      <c r="H213">
        <v>3</v>
      </c>
      <c r="I213" t="s">
        <v>717</v>
      </c>
      <c r="J213" t="s">
        <v>718</v>
      </c>
      <c r="K213" t="s">
        <v>719</v>
      </c>
      <c r="L213">
        <v>1348</v>
      </c>
      <c r="N213">
        <v>1009</v>
      </c>
      <c r="O213" t="s">
        <v>322</v>
      </c>
      <c r="P213" t="s">
        <v>322</v>
      </c>
      <c r="Q213">
        <v>1000</v>
      </c>
      <c r="W213">
        <v>0</v>
      </c>
      <c r="X213">
        <v>-663786370</v>
      </c>
      <c r="Y213">
        <v>0.0008</v>
      </c>
      <c r="AA213">
        <v>29224.6</v>
      </c>
      <c r="AB213">
        <v>0</v>
      </c>
      <c r="AC213">
        <v>0</v>
      </c>
      <c r="AD213">
        <v>0</v>
      </c>
      <c r="AE213">
        <v>5674.68</v>
      </c>
      <c r="AF213">
        <v>0</v>
      </c>
      <c r="AG213">
        <v>0</v>
      </c>
      <c r="AH213">
        <v>0</v>
      </c>
      <c r="AI213">
        <v>5.15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T213">
        <v>0.0008</v>
      </c>
      <c r="AV213">
        <v>0</v>
      </c>
      <c r="AW213">
        <v>2</v>
      </c>
      <c r="AX213">
        <v>44579084</v>
      </c>
      <c r="AY213">
        <v>1</v>
      </c>
      <c r="AZ213">
        <v>0</v>
      </c>
      <c r="BA213">
        <v>218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Y213*Source!I202</f>
        <v>3.68E-06</v>
      </c>
      <c r="CY213">
        <f t="shared" si="44"/>
        <v>29224.6</v>
      </c>
      <c r="CZ213">
        <f t="shared" si="45"/>
        <v>5674.68</v>
      </c>
      <c r="DA213">
        <f t="shared" si="46"/>
        <v>5.15</v>
      </c>
      <c r="DB213">
        <f t="shared" si="47"/>
        <v>4.54</v>
      </c>
      <c r="DC213">
        <f t="shared" si="48"/>
        <v>0</v>
      </c>
    </row>
    <row r="214" spans="1:107" ht="12.75">
      <c r="A214">
        <f>ROW(Source!A202)</f>
        <v>202</v>
      </c>
      <c r="B214">
        <v>44571020</v>
      </c>
      <c r="C214">
        <v>44579038</v>
      </c>
      <c r="D214">
        <v>13984900</v>
      </c>
      <c r="E214">
        <v>1</v>
      </c>
      <c r="F214">
        <v>1</v>
      </c>
      <c r="G214">
        <v>1</v>
      </c>
      <c r="H214">
        <v>3</v>
      </c>
      <c r="I214" t="s">
        <v>330</v>
      </c>
      <c r="J214" t="s">
        <v>332</v>
      </c>
      <c r="K214" t="s">
        <v>331</v>
      </c>
      <c r="L214">
        <v>1348</v>
      </c>
      <c r="N214">
        <v>1009</v>
      </c>
      <c r="O214" t="s">
        <v>322</v>
      </c>
      <c r="P214" t="s">
        <v>322</v>
      </c>
      <c r="Q214">
        <v>1000</v>
      </c>
      <c r="W214">
        <v>1</v>
      </c>
      <c r="X214">
        <v>1939557509</v>
      </c>
      <c r="Y214">
        <v>-105.26</v>
      </c>
      <c r="AA214">
        <v>2651.89</v>
      </c>
      <c r="AB214">
        <v>0</v>
      </c>
      <c r="AC214">
        <v>0</v>
      </c>
      <c r="AD214">
        <v>0</v>
      </c>
      <c r="AE214">
        <v>514.93</v>
      </c>
      <c r="AF214">
        <v>0</v>
      </c>
      <c r="AG214">
        <v>0</v>
      </c>
      <c r="AH214">
        <v>0</v>
      </c>
      <c r="AI214">
        <v>5.15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T214">
        <v>-105.26</v>
      </c>
      <c r="AV214">
        <v>0</v>
      </c>
      <c r="AW214">
        <v>2</v>
      </c>
      <c r="AX214">
        <v>44579085</v>
      </c>
      <c r="AY214">
        <v>1</v>
      </c>
      <c r="AZ214">
        <v>6144</v>
      </c>
      <c r="BA214">
        <v>219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Y214*Source!I202</f>
        <v>-0.484196</v>
      </c>
      <c r="CY214">
        <f t="shared" si="44"/>
        <v>2651.89</v>
      </c>
      <c r="CZ214">
        <f t="shared" si="45"/>
        <v>514.93</v>
      </c>
      <c r="DA214">
        <f t="shared" si="46"/>
        <v>5.15</v>
      </c>
      <c r="DB214">
        <f t="shared" si="47"/>
        <v>-54201.53</v>
      </c>
      <c r="DC214">
        <f t="shared" si="48"/>
        <v>0</v>
      </c>
    </row>
    <row r="215" spans="1:107" ht="12.75">
      <c r="A215">
        <f>ROW(Source!A202)</f>
        <v>202</v>
      </c>
      <c r="B215">
        <v>44571020</v>
      </c>
      <c r="C215">
        <v>44579038</v>
      </c>
      <c r="D215">
        <v>13985062</v>
      </c>
      <c r="E215">
        <v>1</v>
      </c>
      <c r="F215">
        <v>1</v>
      </c>
      <c r="G215">
        <v>1</v>
      </c>
      <c r="H215">
        <v>3</v>
      </c>
      <c r="I215" t="s">
        <v>720</v>
      </c>
      <c r="J215" t="s">
        <v>721</v>
      </c>
      <c r="K215" t="s">
        <v>722</v>
      </c>
      <c r="L215">
        <v>1339</v>
      </c>
      <c r="N215">
        <v>1007</v>
      </c>
      <c r="O215" t="s">
        <v>283</v>
      </c>
      <c r="P215" t="s">
        <v>283</v>
      </c>
      <c r="Q215">
        <v>1</v>
      </c>
      <c r="W215">
        <v>0</v>
      </c>
      <c r="X215">
        <v>949558190</v>
      </c>
      <c r="Y215">
        <v>20.52</v>
      </c>
      <c r="AA215">
        <v>32.45</v>
      </c>
      <c r="AB215">
        <v>0</v>
      </c>
      <c r="AC215">
        <v>0</v>
      </c>
      <c r="AD215">
        <v>0</v>
      </c>
      <c r="AE215">
        <v>6.3</v>
      </c>
      <c r="AF215">
        <v>0</v>
      </c>
      <c r="AG215">
        <v>0</v>
      </c>
      <c r="AH215">
        <v>0</v>
      </c>
      <c r="AI215">
        <v>5.15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T215">
        <v>20.52</v>
      </c>
      <c r="AV215">
        <v>0</v>
      </c>
      <c r="AW215">
        <v>2</v>
      </c>
      <c r="AX215">
        <v>44579086</v>
      </c>
      <c r="AY215">
        <v>1</v>
      </c>
      <c r="AZ215">
        <v>0</v>
      </c>
      <c r="BA215">
        <v>220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Y215*Source!I202</f>
        <v>0.09439199999999999</v>
      </c>
      <c r="CY215">
        <f t="shared" si="44"/>
        <v>32.45</v>
      </c>
      <c r="CZ215">
        <f t="shared" si="45"/>
        <v>6.3</v>
      </c>
      <c r="DA215">
        <f t="shared" si="46"/>
        <v>5.15</v>
      </c>
      <c r="DB215">
        <f t="shared" si="47"/>
        <v>129.28</v>
      </c>
      <c r="DC215">
        <f t="shared" si="48"/>
        <v>0</v>
      </c>
    </row>
    <row r="216" spans="1:107" ht="12.75">
      <c r="A216">
        <f>ROW(Source!A300)</f>
        <v>300</v>
      </c>
      <c r="B216">
        <v>44571020</v>
      </c>
      <c r="C216">
        <v>44571747</v>
      </c>
      <c r="D216">
        <v>9908273</v>
      </c>
      <c r="E216">
        <v>1</v>
      </c>
      <c r="F216">
        <v>1</v>
      </c>
      <c r="G216">
        <v>1</v>
      </c>
      <c r="H216">
        <v>1</v>
      </c>
      <c r="I216" t="s">
        <v>723</v>
      </c>
      <c r="K216" t="s">
        <v>724</v>
      </c>
      <c r="L216">
        <v>1191</v>
      </c>
      <c r="N216">
        <v>1013</v>
      </c>
      <c r="O216" t="s">
        <v>445</v>
      </c>
      <c r="P216" t="s">
        <v>445</v>
      </c>
      <c r="Q216">
        <v>1</v>
      </c>
      <c r="W216">
        <v>0</v>
      </c>
      <c r="X216">
        <v>-635394333</v>
      </c>
      <c r="Y216">
        <v>0.49199999999999994</v>
      </c>
      <c r="AA216">
        <v>0</v>
      </c>
      <c r="AB216">
        <v>0</v>
      </c>
      <c r="AC216">
        <v>0</v>
      </c>
      <c r="AD216">
        <v>363.36</v>
      </c>
      <c r="AE216">
        <v>0</v>
      </c>
      <c r="AF216">
        <v>0</v>
      </c>
      <c r="AG216">
        <v>0</v>
      </c>
      <c r="AH216">
        <v>12.56</v>
      </c>
      <c r="AI216">
        <v>1</v>
      </c>
      <c r="AJ216">
        <v>1</v>
      </c>
      <c r="AK216">
        <v>1</v>
      </c>
      <c r="AL216">
        <v>28.93</v>
      </c>
      <c r="AN216">
        <v>0</v>
      </c>
      <c r="AO216">
        <v>1</v>
      </c>
      <c r="AP216">
        <v>1</v>
      </c>
      <c r="AQ216">
        <v>0</v>
      </c>
      <c r="AR216">
        <v>0</v>
      </c>
      <c r="AT216">
        <v>0.41</v>
      </c>
      <c r="AU216" t="s">
        <v>374</v>
      </c>
      <c r="AV216">
        <v>1</v>
      </c>
      <c r="AW216">
        <v>2</v>
      </c>
      <c r="AX216">
        <v>44571751</v>
      </c>
      <c r="AY216">
        <v>1</v>
      </c>
      <c r="AZ216">
        <v>0</v>
      </c>
      <c r="BA216">
        <v>221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Y216*Source!I300</f>
        <v>1.9679999999999997</v>
      </c>
      <c r="CY216">
        <f aca="true" t="shared" si="49" ref="CY216:CY221">AD216</f>
        <v>363.36</v>
      </c>
      <c r="CZ216">
        <f aca="true" t="shared" si="50" ref="CZ216:CZ221">AH216</f>
        <v>12.56</v>
      </c>
      <c r="DA216">
        <f aca="true" t="shared" si="51" ref="DA216:DA221">AL216</f>
        <v>28.93</v>
      </c>
      <c r="DB216">
        <f>ROUND((ROUND(AT216*CZ216,2)*ROUND(1.2,7)),2)</f>
        <v>6.18</v>
      </c>
      <c r="DC216">
        <f>ROUND((ROUND(AT216*AG216,2)*ROUND(1.2,7)),2)</f>
        <v>0</v>
      </c>
    </row>
    <row r="217" spans="1:107" ht="12.75">
      <c r="A217">
        <f>ROW(Source!A300)</f>
        <v>300</v>
      </c>
      <c r="B217">
        <v>44571020</v>
      </c>
      <c r="C217">
        <v>44571747</v>
      </c>
      <c r="D217">
        <v>121548</v>
      </c>
      <c r="E217">
        <v>1</v>
      </c>
      <c r="F217">
        <v>1</v>
      </c>
      <c r="G217">
        <v>1</v>
      </c>
      <c r="H217">
        <v>1</v>
      </c>
      <c r="I217" t="s">
        <v>28</v>
      </c>
      <c r="K217" t="s">
        <v>446</v>
      </c>
      <c r="L217">
        <v>608254</v>
      </c>
      <c r="N217">
        <v>1013</v>
      </c>
      <c r="O217" t="s">
        <v>447</v>
      </c>
      <c r="P217" t="s">
        <v>447</v>
      </c>
      <c r="Q217">
        <v>1</v>
      </c>
      <c r="W217">
        <v>0</v>
      </c>
      <c r="X217">
        <v>-185737400</v>
      </c>
      <c r="Y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28.93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T217">
        <v>0</v>
      </c>
      <c r="AV217">
        <v>2</v>
      </c>
      <c r="AW217">
        <v>2</v>
      </c>
      <c r="AX217">
        <v>44571752</v>
      </c>
      <c r="AY217">
        <v>1</v>
      </c>
      <c r="AZ217">
        <v>0</v>
      </c>
      <c r="BA217">
        <v>222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Y217*Source!I300</f>
        <v>0</v>
      </c>
      <c r="CY217">
        <f t="shared" si="49"/>
        <v>0</v>
      </c>
      <c r="CZ217">
        <f t="shared" si="50"/>
        <v>0</v>
      </c>
      <c r="DA217">
        <f t="shared" si="51"/>
        <v>1</v>
      </c>
      <c r="DB217">
        <f>ROUND(ROUND(AT217*CZ217,2),2)</f>
        <v>0</v>
      </c>
      <c r="DC217">
        <f>ROUND(ROUND(AT217*AG217,2),2)</f>
        <v>0</v>
      </c>
    </row>
    <row r="218" spans="1:107" ht="12.75">
      <c r="A218">
        <f>ROW(Source!A300)</f>
        <v>300</v>
      </c>
      <c r="B218">
        <v>44571020</v>
      </c>
      <c r="C218">
        <v>44571747</v>
      </c>
      <c r="D218">
        <v>9907306</v>
      </c>
      <c r="E218">
        <v>1</v>
      </c>
      <c r="F218">
        <v>1</v>
      </c>
      <c r="G218">
        <v>1</v>
      </c>
      <c r="H218">
        <v>1</v>
      </c>
      <c r="I218" t="s">
        <v>725</v>
      </c>
      <c r="K218" t="s">
        <v>726</v>
      </c>
      <c r="L218">
        <v>1191</v>
      </c>
      <c r="N218">
        <v>1013</v>
      </c>
      <c r="O218" t="s">
        <v>445</v>
      </c>
      <c r="P218" t="s">
        <v>445</v>
      </c>
      <c r="Q218">
        <v>1</v>
      </c>
      <c r="W218">
        <v>0</v>
      </c>
      <c r="X218">
        <v>-1396037592</v>
      </c>
      <c r="Y218">
        <v>0.49199999999999994</v>
      </c>
      <c r="AA218">
        <v>0</v>
      </c>
      <c r="AB218">
        <v>0</v>
      </c>
      <c r="AC218">
        <v>0</v>
      </c>
      <c r="AD218">
        <v>357</v>
      </c>
      <c r="AE218">
        <v>0</v>
      </c>
      <c r="AF218">
        <v>0</v>
      </c>
      <c r="AG218">
        <v>0</v>
      </c>
      <c r="AH218">
        <v>12.34</v>
      </c>
      <c r="AI218">
        <v>1</v>
      </c>
      <c r="AJ218">
        <v>1</v>
      </c>
      <c r="AK218">
        <v>1</v>
      </c>
      <c r="AL218">
        <v>28.93</v>
      </c>
      <c r="AN218">
        <v>0</v>
      </c>
      <c r="AO218">
        <v>1</v>
      </c>
      <c r="AP218">
        <v>1</v>
      </c>
      <c r="AQ218">
        <v>0</v>
      </c>
      <c r="AR218">
        <v>0</v>
      </c>
      <c r="AT218">
        <v>0.41</v>
      </c>
      <c r="AU218" t="s">
        <v>374</v>
      </c>
      <c r="AV218">
        <v>1</v>
      </c>
      <c r="AW218">
        <v>2</v>
      </c>
      <c r="AX218">
        <v>44571753</v>
      </c>
      <c r="AY218">
        <v>1</v>
      </c>
      <c r="AZ218">
        <v>0</v>
      </c>
      <c r="BA218">
        <v>223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Y218*Source!I300</f>
        <v>1.9679999999999997</v>
      </c>
      <c r="CY218">
        <f t="shared" si="49"/>
        <v>357</v>
      </c>
      <c r="CZ218">
        <f t="shared" si="50"/>
        <v>12.34</v>
      </c>
      <c r="DA218">
        <f t="shared" si="51"/>
        <v>28.93</v>
      </c>
      <c r="DB218">
        <f>ROUND((ROUND(AT218*CZ218,2)*ROUND(1.2,7)),2)</f>
        <v>6.07</v>
      </c>
      <c r="DC218">
        <f>ROUND((ROUND(AT218*AG218,2)*ROUND(1.2,7)),2)</f>
        <v>0</v>
      </c>
    </row>
    <row r="219" spans="1:107" ht="12.75">
      <c r="A219">
        <f>ROW(Source!A301)</f>
        <v>301</v>
      </c>
      <c r="B219">
        <v>44571020</v>
      </c>
      <c r="C219">
        <v>44571754</v>
      </c>
      <c r="D219">
        <v>9908273</v>
      </c>
      <c r="E219">
        <v>1</v>
      </c>
      <c r="F219">
        <v>1</v>
      </c>
      <c r="G219">
        <v>1</v>
      </c>
      <c r="H219">
        <v>1</v>
      </c>
      <c r="I219" t="s">
        <v>723</v>
      </c>
      <c r="K219" t="s">
        <v>724</v>
      </c>
      <c r="L219">
        <v>1191</v>
      </c>
      <c r="N219">
        <v>1013</v>
      </c>
      <c r="O219" t="s">
        <v>445</v>
      </c>
      <c r="P219" t="s">
        <v>445</v>
      </c>
      <c r="Q219">
        <v>1</v>
      </c>
      <c r="W219">
        <v>0</v>
      </c>
      <c r="X219">
        <v>-635394333</v>
      </c>
      <c r="Y219">
        <v>0.192</v>
      </c>
      <c r="AA219">
        <v>0</v>
      </c>
      <c r="AB219">
        <v>0</v>
      </c>
      <c r="AC219">
        <v>0</v>
      </c>
      <c r="AD219">
        <v>363.36</v>
      </c>
      <c r="AE219">
        <v>0</v>
      </c>
      <c r="AF219">
        <v>0</v>
      </c>
      <c r="AG219">
        <v>0</v>
      </c>
      <c r="AH219">
        <v>12.56</v>
      </c>
      <c r="AI219">
        <v>1</v>
      </c>
      <c r="AJ219">
        <v>1</v>
      </c>
      <c r="AK219">
        <v>1</v>
      </c>
      <c r="AL219">
        <v>28.93</v>
      </c>
      <c r="AN219">
        <v>0</v>
      </c>
      <c r="AO219">
        <v>1</v>
      </c>
      <c r="AP219">
        <v>1</v>
      </c>
      <c r="AQ219">
        <v>0</v>
      </c>
      <c r="AR219">
        <v>0</v>
      </c>
      <c r="AT219">
        <v>0.16</v>
      </c>
      <c r="AU219" t="s">
        <v>374</v>
      </c>
      <c r="AV219">
        <v>1</v>
      </c>
      <c r="AW219">
        <v>2</v>
      </c>
      <c r="AX219">
        <v>44571758</v>
      </c>
      <c r="AY219">
        <v>1</v>
      </c>
      <c r="AZ219">
        <v>0</v>
      </c>
      <c r="BA219">
        <v>224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Y219*Source!I301</f>
        <v>0.192</v>
      </c>
      <c r="CY219">
        <f t="shared" si="49"/>
        <v>363.36</v>
      </c>
      <c r="CZ219">
        <f t="shared" si="50"/>
        <v>12.56</v>
      </c>
      <c r="DA219">
        <f t="shared" si="51"/>
        <v>28.93</v>
      </c>
      <c r="DB219">
        <f>ROUND((ROUND(AT219*CZ219,2)*ROUND(1.2,7)),2)</f>
        <v>2.41</v>
      </c>
      <c r="DC219">
        <f>ROUND((ROUND(AT219*AG219,2)*ROUND(1.2,7)),2)</f>
        <v>0</v>
      </c>
    </row>
    <row r="220" spans="1:107" ht="12.75">
      <c r="A220">
        <f>ROW(Source!A301)</f>
        <v>301</v>
      </c>
      <c r="B220">
        <v>44571020</v>
      </c>
      <c r="C220">
        <v>44571754</v>
      </c>
      <c r="D220">
        <v>121548</v>
      </c>
      <c r="E220">
        <v>1</v>
      </c>
      <c r="F220">
        <v>1</v>
      </c>
      <c r="G220">
        <v>1</v>
      </c>
      <c r="H220">
        <v>1</v>
      </c>
      <c r="I220" t="s">
        <v>28</v>
      </c>
      <c r="K220" t="s">
        <v>446</v>
      </c>
      <c r="L220">
        <v>608254</v>
      </c>
      <c r="N220">
        <v>1013</v>
      </c>
      <c r="O220" t="s">
        <v>447</v>
      </c>
      <c r="P220" t="s">
        <v>447</v>
      </c>
      <c r="Q220">
        <v>1</v>
      </c>
      <c r="W220">
        <v>0</v>
      </c>
      <c r="X220">
        <v>-185737400</v>
      </c>
      <c r="Y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28.93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T220">
        <v>0</v>
      </c>
      <c r="AV220">
        <v>2</v>
      </c>
      <c r="AW220">
        <v>2</v>
      </c>
      <c r="AX220">
        <v>44571759</v>
      </c>
      <c r="AY220">
        <v>1</v>
      </c>
      <c r="AZ220">
        <v>0</v>
      </c>
      <c r="BA220">
        <v>225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Y220*Source!I301</f>
        <v>0</v>
      </c>
      <c r="CY220">
        <f t="shared" si="49"/>
        <v>0</v>
      </c>
      <c r="CZ220">
        <f t="shared" si="50"/>
        <v>0</v>
      </c>
      <c r="DA220">
        <f t="shared" si="51"/>
        <v>1</v>
      </c>
      <c r="DB220">
        <f>ROUND(ROUND(AT220*CZ220,2),2)</f>
        <v>0</v>
      </c>
      <c r="DC220">
        <f>ROUND(ROUND(AT220*AG220,2),2)</f>
        <v>0</v>
      </c>
    </row>
    <row r="221" spans="1:107" ht="12.75">
      <c r="A221">
        <f>ROW(Source!A301)</f>
        <v>301</v>
      </c>
      <c r="B221">
        <v>44571020</v>
      </c>
      <c r="C221">
        <v>44571754</v>
      </c>
      <c r="D221">
        <v>9907306</v>
      </c>
      <c r="E221">
        <v>1</v>
      </c>
      <c r="F221">
        <v>1</v>
      </c>
      <c r="G221">
        <v>1</v>
      </c>
      <c r="H221">
        <v>1</v>
      </c>
      <c r="I221" t="s">
        <v>725</v>
      </c>
      <c r="K221" t="s">
        <v>726</v>
      </c>
      <c r="L221">
        <v>1191</v>
      </c>
      <c r="N221">
        <v>1013</v>
      </c>
      <c r="O221" t="s">
        <v>445</v>
      </c>
      <c r="P221" t="s">
        <v>445</v>
      </c>
      <c r="Q221">
        <v>1</v>
      </c>
      <c r="W221">
        <v>0</v>
      </c>
      <c r="X221">
        <v>-1396037592</v>
      </c>
      <c r="Y221">
        <v>0.192</v>
      </c>
      <c r="AA221">
        <v>0</v>
      </c>
      <c r="AB221">
        <v>0</v>
      </c>
      <c r="AC221">
        <v>0</v>
      </c>
      <c r="AD221">
        <v>357</v>
      </c>
      <c r="AE221">
        <v>0</v>
      </c>
      <c r="AF221">
        <v>0</v>
      </c>
      <c r="AG221">
        <v>0</v>
      </c>
      <c r="AH221">
        <v>12.34</v>
      </c>
      <c r="AI221">
        <v>1</v>
      </c>
      <c r="AJ221">
        <v>1</v>
      </c>
      <c r="AK221">
        <v>1</v>
      </c>
      <c r="AL221">
        <v>28.93</v>
      </c>
      <c r="AN221">
        <v>0</v>
      </c>
      <c r="AO221">
        <v>1</v>
      </c>
      <c r="AP221">
        <v>1</v>
      </c>
      <c r="AQ221">
        <v>0</v>
      </c>
      <c r="AR221">
        <v>0</v>
      </c>
      <c r="AT221">
        <v>0.16</v>
      </c>
      <c r="AU221" t="s">
        <v>374</v>
      </c>
      <c r="AV221">
        <v>1</v>
      </c>
      <c r="AW221">
        <v>2</v>
      </c>
      <c r="AX221">
        <v>44571760</v>
      </c>
      <c r="AY221">
        <v>1</v>
      </c>
      <c r="AZ221">
        <v>0</v>
      </c>
      <c r="BA221">
        <v>226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Y221*Source!I301</f>
        <v>0.192</v>
      </c>
      <c r="CY221">
        <f t="shared" si="49"/>
        <v>357</v>
      </c>
      <c r="CZ221">
        <f t="shared" si="50"/>
        <v>12.34</v>
      </c>
      <c r="DA221">
        <f t="shared" si="51"/>
        <v>28.93</v>
      </c>
      <c r="DB221">
        <f>ROUND((ROUND(AT221*CZ221,2)*ROUND(1.2,7)),2)</f>
        <v>2.36</v>
      </c>
      <c r="DC221">
        <f>ROUND((ROUND(AT221*AG221,2)*ROUND(1.2,7)),2)</f>
        <v>0</v>
      </c>
    </row>
    <row r="420" ht="12.75">
      <c r="I42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44571376</v>
      </c>
      <c r="C1">
        <v>44571373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443</v>
      </c>
      <c r="K1" t="s">
        <v>444</v>
      </c>
      <c r="L1">
        <v>1191</v>
      </c>
      <c r="N1">
        <v>1013</v>
      </c>
      <c r="O1" t="s">
        <v>445</v>
      </c>
      <c r="P1" t="s">
        <v>445</v>
      </c>
      <c r="Q1">
        <v>1</v>
      </c>
      <c r="X1">
        <v>280</v>
      </c>
      <c r="Y1">
        <v>0</v>
      </c>
      <c r="Z1">
        <v>0</v>
      </c>
      <c r="AA1">
        <v>0</v>
      </c>
      <c r="AB1">
        <v>7.58</v>
      </c>
      <c r="AC1">
        <v>0</v>
      </c>
      <c r="AD1">
        <v>1</v>
      </c>
      <c r="AE1">
        <v>1</v>
      </c>
      <c r="AF1" t="s">
        <v>22</v>
      </c>
      <c r="AG1">
        <v>386.4</v>
      </c>
      <c r="AH1">
        <v>2</v>
      </c>
      <c r="AI1">
        <v>44571374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44571377</v>
      </c>
      <c r="C2">
        <v>44571373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446</v>
      </c>
      <c r="L2">
        <v>608254</v>
      </c>
      <c r="N2">
        <v>1013</v>
      </c>
      <c r="O2" t="s">
        <v>447</v>
      </c>
      <c r="P2" t="s">
        <v>447</v>
      </c>
      <c r="Q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22</v>
      </c>
      <c r="AG2">
        <v>0</v>
      </c>
      <c r="AH2">
        <v>2</v>
      </c>
      <c r="AI2">
        <v>44571375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44571381</v>
      </c>
      <c r="C3">
        <v>44571378</v>
      </c>
      <c r="D3">
        <v>10022687</v>
      </c>
      <c r="E3">
        <v>1</v>
      </c>
      <c r="F3">
        <v>1</v>
      </c>
      <c r="G3">
        <v>1</v>
      </c>
      <c r="H3">
        <v>1</v>
      </c>
      <c r="I3" t="s">
        <v>448</v>
      </c>
      <c r="K3" t="s">
        <v>449</v>
      </c>
      <c r="L3">
        <v>1191</v>
      </c>
      <c r="N3">
        <v>1013</v>
      </c>
      <c r="O3" t="s">
        <v>445</v>
      </c>
      <c r="P3" t="s">
        <v>445</v>
      </c>
      <c r="Q3">
        <v>1</v>
      </c>
      <c r="X3">
        <v>88.5</v>
      </c>
      <c r="Y3">
        <v>0</v>
      </c>
      <c r="Z3">
        <v>0</v>
      </c>
      <c r="AA3">
        <v>0</v>
      </c>
      <c r="AB3">
        <v>7.29</v>
      </c>
      <c r="AC3">
        <v>0</v>
      </c>
      <c r="AD3">
        <v>1</v>
      </c>
      <c r="AE3">
        <v>1</v>
      </c>
      <c r="AF3" t="s">
        <v>22</v>
      </c>
      <c r="AG3">
        <v>122.13</v>
      </c>
      <c r="AH3">
        <v>2</v>
      </c>
      <c r="AI3">
        <v>44571379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44571382</v>
      </c>
      <c r="C4">
        <v>44571378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28</v>
      </c>
      <c r="K4" t="s">
        <v>446</v>
      </c>
      <c r="L4">
        <v>608254</v>
      </c>
      <c r="N4">
        <v>1013</v>
      </c>
      <c r="O4" t="s">
        <v>447</v>
      </c>
      <c r="P4" t="s">
        <v>447</v>
      </c>
      <c r="Q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2</v>
      </c>
      <c r="AF4" t="s">
        <v>22</v>
      </c>
      <c r="AG4">
        <v>0</v>
      </c>
      <c r="AH4">
        <v>2</v>
      </c>
      <c r="AI4">
        <v>44571380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44571387</v>
      </c>
      <c r="C5">
        <v>44571383</v>
      </c>
      <c r="D5">
        <v>9914874</v>
      </c>
      <c r="E5">
        <v>1</v>
      </c>
      <c r="F5">
        <v>1</v>
      </c>
      <c r="G5">
        <v>1</v>
      </c>
      <c r="H5">
        <v>1</v>
      </c>
      <c r="I5" t="s">
        <v>443</v>
      </c>
      <c r="K5" t="s">
        <v>444</v>
      </c>
      <c r="L5">
        <v>1191</v>
      </c>
      <c r="N5">
        <v>1013</v>
      </c>
      <c r="O5" t="s">
        <v>445</v>
      </c>
      <c r="P5" t="s">
        <v>445</v>
      </c>
      <c r="Q5">
        <v>1</v>
      </c>
      <c r="X5">
        <v>12.86</v>
      </c>
      <c r="Y5">
        <v>0</v>
      </c>
      <c r="Z5">
        <v>0</v>
      </c>
      <c r="AA5">
        <v>0</v>
      </c>
      <c r="AB5">
        <v>7.58</v>
      </c>
      <c r="AC5">
        <v>0</v>
      </c>
      <c r="AD5">
        <v>1</v>
      </c>
      <c r="AE5">
        <v>1</v>
      </c>
      <c r="AF5" t="s">
        <v>22</v>
      </c>
      <c r="AG5">
        <v>17.746799999999997</v>
      </c>
      <c r="AH5">
        <v>2</v>
      </c>
      <c r="AI5">
        <v>44571384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44571388</v>
      </c>
      <c r="C6">
        <v>44571383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28</v>
      </c>
      <c r="K6" t="s">
        <v>446</v>
      </c>
      <c r="L6">
        <v>608254</v>
      </c>
      <c r="N6">
        <v>1013</v>
      </c>
      <c r="O6" t="s">
        <v>447</v>
      </c>
      <c r="P6" t="s">
        <v>447</v>
      </c>
      <c r="Q6">
        <v>1</v>
      </c>
      <c r="X6">
        <v>58.76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22</v>
      </c>
      <c r="AG6">
        <v>81.08879999999999</v>
      </c>
      <c r="AH6">
        <v>2</v>
      </c>
      <c r="AI6">
        <v>44571385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44571389</v>
      </c>
      <c r="C7">
        <v>44571383</v>
      </c>
      <c r="D7">
        <v>13902165</v>
      </c>
      <c r="E7">
        <v>1</v>
      </c>
      <c r="F7">
        <v>1</v>
      </c>
      <c r="G7">
        <v>1</v>
      </c>
      <c r="H7">
        <v>2</v>
      </c>
      <c r="I7" t="s">
        <v>450</v>
      </c>
      <c r="J7" t="s">
        <v>451</v>
      </c>
      <c r="K7" t="s">
        <v>452</v>
      </c>
      <c r="L7">
        <v>1368</v>
      </c>
      <c r="N7">
        <v>1011</v>
      </c>
      <c r="O7" t="s">
        <v>453</v>
      </c>
      <c r="P7" t="s">
        <v>453</v>
      </c>
      <c r="Q7">
        <v>1</v>
      </c>
      <c r="X7">
        <v>58.76</v>
      </c>
      <c r="Y7">
        <v>0</v>
      </c>
      <c r="Z7">
        <v>79.94</v>
      </c>
      <c r="AA7">
        <v>11.28</v>
      </c>
      <c r="AB7">
        <v>0</v>
      </c>
      <c r="AC7">
        <v>0</v>
      </c>
      <c r="AD7">
        <v>1</v>
      </c>
      <c r="AE7">
        <v>0</v>
      </c>
      <c r="AF7" t="s">
        <v>22</v>
      </c>
      <c r="AG7">
        <v>81.08879999999999</v>
      </c>
      <c r="AH7">
        <v>2</v>
      </c>
      <c r="AI7">
        <v>44571386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ROW(Source!A31)</f>
        <v>31</v>
      </c>
      <c r="B8">
        <v>44571393</v>
      </c>
      <c r="C8">
        <v>44571390</v>
      </c>
      <c r="D8">
        <v>9914874</v>
      </c>
      <c r="E8">
        <v>1</v>
      </c>
      <c r="F8">
        <v>1</v>
      </c>
      <c r="G8">
        <v>1</v>
      </c>
      <c r="H8">
        <v>1</v>
      </c>
      <c r="I8" t="s">
        <v>443</v>
      </c>
      <c r="K8" t="s">
        <v>444</v>
      </c>
      <c r="L8">
        <v>1191</v>
      </c>
      <c r="N8">
        <v>1013</v>
      </c>
      <c r="O8" t="s">
        <v>445</v>
      </c>
      <c r="P8" t="s">
        <v>445</v>
      </c>
      <c r="Q8">
        <v>1</v>
      </c>
      <c r="X8">
        <v>154</v>
      </c>
      <c r="Y8">
        <v>0</v>
      </c>
      <c r="Z8">
        <v>0</v>
      </c>
      <c r="AA8">
        <v>0</v>
      </c>
      <c r="AB8">
        <v>7.58</v>
      </c>
      <c r="AC8">
        <v>0</v>
      </c>
      <c r="AD8">
        <v>1</v>
      </c>
      <c r="AE8">
        <v>1</v>
      </c>
      <c r="AF8" t="s">
        <v>22</v>
      </c>
      <c r="AG8">
        <v>212.51999999999995</v>
      </c>
      <c r="AH8">
        <v>2</v>
      </c>
      <c r="AI8">
        <v>44571391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ROW(Source!A31)</f>
        <v>31</v>
      </c>
      <c r="B9">
        <v>44571394</v>
      </c>
      <c r="C9">
        <v>44571390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28</v>
      </c>
      <c r="K9" t="s">
        <v>446</v>
      </c>
      <c r="L9">
        <v>608254</v>
      </c>
      <c r="N9">
        <v>1013</v>
      </c>
      <c r="O9" t="s">
        <v>447</v>
      </c>
      <c r="P9" t="s">
        <v>447</v>
      </c>
      <c r="Q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22</v>
      </c>
      <c r="AG9">
        <v>0</v>
      </c>
      <c r="AH9">
        <v>2</v>
      </c>
      <c r="AI9">
        <v>44571392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ROW(Source!A32)</f>
        <v>32</v>
      </c>
      <c r="B10">
        <v>44580238</v>
      </c>
      <c r="C10">
        <v>44571395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28</v>
      </c>
      <c r="K10" t="s">
        <v>446</v>
      </c>
      <c r="L10">
        <v>608254</v>
      </c>
      <c r="N10">
        <v>1013</v>
      </c>
      <c r="O10" t="s">
        <v>447</v>
      </c>
      <c r="P10" t="s">
        <v>447</v>
      </c>
      <c r="Q10">
        <v>1</v>
      </c>
      <c r="X10">
        <v>8.87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22</v>
      </c>
      <c r="AG10">
        <v>12.240599999999997</v>
      </c>
      <c r="AH10">
        <v>2</v>
      </c>
      <c r="AI10">
        <v>44580238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ROW(Source!A32)</f>
        <v>32</v>
      </c>
      <c r="B11">
        <v>44580239</v>
      </c>
      <c r="C11">
        <v>44571395</v>
      </c>
      <c r="D11">
        <v>13902216</v>
      </c>
      <c r="E11">
        <v>1</v>
      </c>
      <c r="F11">
        <v>1</v>
      </c>
      <c r="G11">
        <v>1</v>
      </c>
      <c r="H11">
        <v>2</v>
      </c>
      <c r="I11" t="s">
        <v>454</v>
      </c>
      <c r="J11" t="s">
        <v>455</v>
      </c>
      <c r="K11" t="s">
        <v>456</v>
      </c>
      <c r="L11">
        <v>1368</v>
      </c>
      <c r="N11">
        <v>1011</v>
      </c>
      <c r="O11" t="s">
        <v>453</v>
      </c>
      <c r="P11" t="s">
        <v>453</v>
      </c>
      <c r="Q11">
        <v>1</v>
      </c>
      <c r="X11">
        <v>8.87</v>
      </c>
      <c r="Y11">
        <v>0</v>
      </c>
      <c r="Z11">
        <v>63.97</v>
      </c>
      <c r="AA11">
        <v>11.28</v>
      </c>
      <c r="AB11">
        <v>0</v>
      </c>
      <c r="AC11">
        <v>0</v>
      </c>
      <c r="AD11">
        <v>1</v>
      </c>
      <c r="AE11">
        <v>0</v>
      </c>
      <c r="AF11" t="s">
        <v>22</v>
      </c>
      <c r="AG11">
        <v>12.240599999999997</v>
      </c>
      <c r="AH11">
        <v>2</v>
      </c>
      <c r="AI11">
        <v>44580239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ROW(Source!A33)</f>
        <v>33</v>
      </c>
      <c r="B12">
        <v>44571403</v>
      </c>
      <c r="C12">
        <v>44571400</v>
      </c>
      <c r="D12">
        <v>10022687</v>
      </c>
      <c r="E12">
        <v>1</v>
      </c>
      <c r="F12">
        <v>1</v>
      </c>
      <c r="G12">
        <v>1</v>
      </c>
      <c r="H12">
        <v>1</v>
      </c>
      <c r="I12" t="s">
        <v>448</v>
      </c>
      <c r="K12" t="s">
        <v>449</v>
      </c>
      <c r="L12">
        <v>1191</v>
      </c>
      <c r="N12">
        <v>1013</v>
      </c>
      <c r="O12" t="s">
        <v>445</v>
      </c>
      <c r="P12" t="s">
        <v>445</v>
      </c>
      <c r="Q12">
        <v>1</v>
      </c>
      <c r="X12">
        <v>88.5</v>
      </c>
      <c r="Y12">
        <v>0</v>
      </c>
      <c r="Z12">
        <v>0</v>
      </c>
      <c r="AA12">
        <v>0</v>
      </c>
      <c r="AB12">
        <v>7.29</v>
      </c>
      <c r="AC12">
        <v>0</v>
      </c>
      <c r="AD12">
        <v>1</v>
      </c>
      <c r="AE12">
        <v>1</v>
      </c>
      <c r="AF12" t="s">
        <v>22</v>
      </c>
      <c r="AG12">
        <v>122.13</v>
      </c>
      <c r="AH12">
        <v>2</v>
      </c>
      <c r="AI12">
        <v>44571401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ROW(Source!A33)</f>
        <v>33</v>
      </c>
      <c r="B13">
        <v>44571404</v>
      </c>
      <c r="C13">
        <v>44571400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28</v>
      </c>
      <c r="K13" t="s">
        <v>446</v>
      </c>
      <c r="L13">
        <v>608254</v>
      </c>
      <c r="N13">
        <v>1013</v>
      </c>
      <c r="O13" t="s">
        <v>447</v>
      </c>
      <c r="P13" t="s">
        <v>447</v>
      </c>
      <c r="Q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F13" t="s">
        <v>22</v>
      </c>
      <c r="AG13">
        <v>0</v>
      </c>
      <c r="AH13">
        <v>2</v>
      </c>
      <c r="AI13">
        <v>44571402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ROW(Source!A34)</f>
        <v>34</v>
      </c>
      <c r="B14">
        <v>44571410</v>
      </c>
      <c r="C14">
        <v>44571405</v>
      </c>
      <c r="D14">
        <v>9915005</v>
      </c>
      <c r="E14">
        <v>1</v>
      </c>
      <c r="F14">
        <v>1</v>
      </c>
      <c r="G14">
        <v>1</v>
      </c>
      <c r="H14">
        <v>1</v>
      </c>
      <c r="I14" t="s">
        <v>457</v>
      </c>
      <c r="K14" t="s">
        <v>458</v>
      </c>
      <c r="L14">
        <v>1191</v>
      </c>
      <c r="N14">
        <v>1013</v>
      </c>
      <c r="O14" t="s">
        <v>445</v>
      </c>
      <c r="P14" t="s">
        <v>445</v>
      </c>
      <c r="Q14">
        <v>1</v>
      </c>
      <c r="X14">
        <v>12.53</v>
      </c>
      <c r="Y14">
        <v>0</v>
      </c>
      <c r="Z14">
        <v>0</v>
      </c>
      <c r="AA14">
        <v>0</v>
      </c>
      <c r="AB14">
        <v>8.29</v>
      </c>
      <c r="AC14">
        <v>0</v>
      </c>
      <c r="AD14">
        <v>1</v>
      </c>
      <c r="AE14">
        <v>1</v>
      </c>
      <c r="AF14" t="s">
        <v>22</v>
      </c>
      <c r="AG14">
        <v>17.291399999999996</v>
      </c>
      <c r="AH14">
        <v>2</v>
      </c>
      <c r="AI14">
        <v>44571406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ROW(Source!A34)</f>
        <v>34</v>
      </c>
      <c r="B15">
        <v>44571411</v>
      </c>
      <c r="C15">
        <v>44571405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28</v>
      </c>
      <c r="K15" t="s">
        <v>446</v>
      </c>
      <c r="L15">
        <v>608254</v>
      </c>
      <c r="N15">
        <v>1013</v>
      </c>
      <c r="O15" t="s">
        <v>447</v>
      </c>
      <c r="P15" t="s">
        <v>447</v>
      </c>
      <c r="Q15">
        <v>1</v>
      </c>
      <c r="X15">
        <v>3.04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22</v>
      </c>
      <c r="AG15">
        <v>4.195199999999999</v>
      </c>
      <c r="AH15">
        <v>2</v>
      </c>
      <c r="AI15">
        <v>44571407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ROW(Source!A34)</f>
        <v>34</v>
      </c>
      <c r="B16">
        <v>44571412</v>
      </c>
      <c r="C16">
        <v>44571405</v>
      </c>
      <c r="D16">
        <v>13902095</v>
      </c>
      <c r="E16">
        <v>1</v>
      </c>
      <c r="F16">
        <v>1</v>
      </c>
      <c r="G16">
        <v>1</v>
      </c>
      <c r="H16">
        <v>2</v>
      </c>
      <c r="I16" t="s">
        <v>459</v>
      </c>
      <c r="J16" t="s">
        <v>460</v>
      </c>
      <c r="K16" t="s">
        <v>461</v>
      </c>
      <c r="L16">
        <v>1368</v>
      </c>
      <c r="N16">
        <v>1011</v>
      </c>
      <c r="O16" t="s">
        <v>453</v>
      </c>
      <c r="P16" t="s">
        <v>453</v>
      </c>
      <c r="Q16">
        <v>1</v>
      </c>
      <c r="X16">
        <v>3.04</v>
      </c>
      <c r="Y16">
        <v>0</v>
      </c>
      <c r="Z16">
        <v>104.34</v>
      </c>
      <c r="AA16">
        <v>9.78</v>
      </c>
      <c r="AB16">
        <v>0</v>
      </c>
      <c r="AC16">
        <v>0</v>
      </c>
      <c r="AD16">
        <v>1</v>
      </c>
      <c r="AE16">
        <v>0</v>
      </c>
      <c r="AF16" t="s">
        <v>22</v>
      </c>
      <c r="AG16">
        <v>4.195199999999999</v>
      </c>
      <c r="AH16">
        <v>2</v>
      </c>
      <c r="AI16">
        <v>44571408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ROW(Source!A34)</f>
        <v>34</v>
      </c>
      <c r="B17">
        <v>44571413</v>
      </c>
      <c r="C17">
        <v>44571405</v>
      </c>
      <c r="D17">
        <v>13903869</v>
      </c>
      <c r="E17">
        <v>1</v>
      </c>
      <c r="F17">
        <v>1</v>
      </c>
      <c r="G17">
        <v>1</v>
      </c>
      <c r="H17">
        <v>2</v>
      </c>
      <c r="I17" t="s">
        <v>462</v>
      </c>
      <c r="J17" t="s">
        <v>463</v>
      </c>
      <c r="K17" t="s">
        <v>464</v>
      </c>
      <c r="L17">
        <v>1368</v>
      </c>
      <c r="N17">
        <v>1011</v>
      </c>
      <c r="O17" t="s">
        <v>453</v>
      </c>
      <c r="P17" t="s">
        <v>453</v>
      </c>
      <c r="Q17">
        <v>1</v>
      </c>
      <c r="X17">
        <v>12.18</v>
      </c>
      <c r="Y17">
        <v>0</v>
      </c>
      <c r="Z17">
        <v>0.63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22</v>
      </c>
      <c r="AG17">
        <v>16.8084</v>
      </c>
      <c r="AH17">
        <v>2</v>
      </c>
      <c r="AI17">
        <v>44571409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ROW(Source!A35)</f>
        <v>35</v>
      </c>
      <c r="B18">
        <v>44571417</v>
      </c>
      <c r="C18">
        <v>44571414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28</v>
      </c>
      <c r="K18" t="s">
        <v>446</v>
      </c>
      <c r="L18">
        <v>608254</v>
      </c>
      <c r="N18">
        <v>1013</v>
      </c>
      <c r="O18" t="s">
        <v>447</v>
      </c>
      <c r="P18" t="s">
        <v>447</v>
      </c>
      <c r="Q18">
        <v>1</v>
      </c>
      <c r="X18">
        <v>0.029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G18">
        <v>0.029</v>
      </c>
      <c r="AH18">
        <v>2</v>
      </c>
      <c r="AI18">
        <v>44571415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ROW(Source!A35)</f>
        <v>35</v>
      </c>
      <c r="B19">
        <v>44571418</v>
      </c>
      <c r="C19">
        <v>44571414</v>
      </c>
      <c r="D19">
        <v>13902139</v>
      </c>
      <c r="E19">
        <v>1</v>
      </c>
      <c r="F19">
        <v>1</v>
      </c>
      <c r="G19">
        <v>1</v>
      </c>
      <c r="H19">
        <v>2</v>
      </c>
      <c r="I19" t="s">
        <v>465</v>
      </c>
      <c r="J19" t="s">
        <v>466</v>
      </c>
      <c r="K19" t="s">
        <v>467</v>
      </c>
      <c r="L19">
        <v>1368</v>
      </c>
      <c r="N19">
        <v>1011</v>
      </c>
      <c r="O19" t="s">
        <v>453</v>
      </c>
      <c r="P19" t="s">
        <v>453</v>
      </c>
      <c r="Q19">
        <v>1</v>
      </c>
      <c r="X19">
        <v>0.029</v>
      </c>
      <c r="Y19">
        <v>0</v>
      </c>
      <c r="Z19">
        <v>141.56</v>
      </c>
      <c r="AA19">
        <v>13.12</v>
      </c>
      <c r="AB19">
        <v>0</v>
      </c>
      <c r="AC19">
        <v>0</v>
      </c>
      <c r="AD19">
        <v>1</v>
      </c>
      <c r="AE19">
        <v>0</v>
      </c>
      <c r="AG19">
        <v>0.029</v>
      </c>
      <c r="AH19">
        <v>2</v>
      </c>
      <c r="AI19">
        <v>44571416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ROW(Source!A37)</f>
        <v>37</v>
      </c>
      <c r="B20">
        <v>44571431</v>
      </c>
      <c r="C20">
        <v>44571420</v>
      </c>
      <c r="D20">
        <v>9914981</v>
      </c>
      <c r="E20">
        <v>1</v>
      </c>
      <c r="F20">
        <v>1</v>
      </c>
      <c r="G20">
        <v>1</v>
      </c>
      <c r="H20">
        <v>1</v>
      </c>
      <c r="I20" t="s">
        <v>468</v>
      </c>
      <c r="K20" t="s">
        <v>469</v>
      </c>
      <c r="L20">
        <v>1191</v>
      </c>
      <c r="N20">
        <v>1013</v>
      </c>
      <c r="O20" t="s">
        <v>445</v>
      </c>
      <c r="P20" t="s">
        <v>445</v>
      </c>
      <c r="Q20">
        <v>1</v>
      </c>
      <c r="X20">
        <v>225.04</v>
      </c>
      <c r="Y20">
        <v>0</v>
      </c>
      <c r="Z20">
        <v>0</v>
      </c>
      <c r="AA20">
        <v>0</v>
      </c>
      <c r="AB20">
        <v>9.03</v>
      </c>
      <c r="AC20">
        <v>0</v>
      </c>
      <c r="AD20">
        <v>1</v>
      </c>
      <c r="AE20">
        <v>1</v>
      </c>
      <c r="AF20" t="s">
        <v>22</v>
      </c>
      <c r="AG20">
        <v>310.55519999999996</v>
      </c>
      <c r="AH20">
        <v>2</v>
      </c>
      <c r="AI20">
        <v>44571421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ROW(Source!A37)</f>
        <v>37</v>
      </c>
      <c r="B21">
        <v>44571432</v>
      </c>
      <c r="C21">
        <v>44571420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28</v>
      </c>
      <c r="K21" t="s">
        <v>446</v>
      </c>
      <c r="L21">
        <v>608254</v>
      </c>
      <c r="N21">
        <v>1013</v>
      </c>
      <c r="O21" t="s">
        <v>447</v>
      </c>
      <c r="P21" t="s">
        <v>447</v>
      </c>
      <c r="Q21">
        <v>1</v>
      </c>
      <c r="X21">
        <v>30.28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22</v>
      </c>
      <c r="AG21">
        <v>41.78639999999999</v>
      </c>
      <c r="AH21">
        <v>2</v>
      </c>
      <c r="AI21">
        <v>44571422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ROW(Source!A37)</f>
        <v>37</v>
      </c>
      <c r="B22">
        <v>44571433</v>
      </c>
      <c r="C22">
        <v>44571420</v>
      </c>
      <c r="D22">
        <v>13901800</v>
      </c>
      <c r="E22">
        <v>1</v>
      </c>
      <c r="F22">
        <v>1</v>
      </c>
      <c r="G22">
        <v>1</v>
      </c>
      <c r="H22">
        <v>2</v>
      </c>
      <c r="I22" t="s">
        <v>470</v>
      </c>
      <c r="J22" t="s">
        <v>471</v>
      </c>
      <c r="K22" t="s">
        <v>472</v>
      </c>
      <c r="L22">
        <v>1368</v>
      </c>
      <c r="N22">
        <v>1011</v>
      </c>
      <c r="O22" t="s">
        <v>453</v>
      </c>
      <c r="P22" t="s">
        <v>453</v>
      </c>
      <c r="Q22">
        <v>1</v>
      </c>
      <c r="X22">
        <v>0.35</v>
      </c>
      <c r="Y22">
        <v>0</v>
      </c>
      <c r="Z22">
        <v>127.66</v>
      </c>
      <c r="AA22">
        <v>13.12</v>
      </c>
      <c r="AB22">
        <v>0</v>
      </c>
      <c r="AC22">
        <v>0</v>
      </c>
      <c r="AD22">
        <v>1</v>
      </c>
      <c r="AE22">
        <v>0</v>
      </c>
      <c r="AF22" t="s">
        <v>22</v>
      </c>
      <c r="AG22">
        <v>0.48299999999999993</v>
      </c>
      <c r="AH22">
        <v>2</v>
      </c>
      <c r="AI22">
        <v>44571423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ROW(Source!A37)</f>
        <v>37</v>
      </c>
      <c r="B23">
        <v>44571434</v>
      </c>
      <c r="C23">
        <v>44571420</v>
      </c>
      <c r="D23">
        <v>13902030</v>
      </c>
      <c r="E23">
        <v>1</v>
      </c>
      <c r="F23">
        <v>1</v>
      </c>
      <c r="G23">
        <v>1</v>
      </c>
      <c r="H23">
        <v>2</v>
      </c>
      <c r="I23" t="s">
        <v>473</v>
      </c>
      <c r="J23" t="s">
        <v>474</v>
      </c>
      <c r="K23" t="s">
        <v>475</v>
      </c>
      <c r="L23">
        <v>1368</v>
      </c>
      <c r="N23">
        <v>1011</v>
      </c>
      <c r="O23" t="s">
        <v>453</v>
      </c>
      <c r="P23" t="s">
        <v>453</v>
      </c>
      <c r="Q23">
        <v>1</v>
      </c>
      <c r="X23">
        <v>1.39</v>
      </c>
      <c r="Y23">
        <v>0</v>
      </c>
      <c r="Z23">
        <v>30.69</v>
      </c>
      <c r="AA23">
        <v>11.28</v>
      </c>
      <c r="AB23">
        <v>0</v>
      </c>
      <c r="AC23">
        <v>0</v>
      </c>
      <c r="AD23">
        <v>1</v>
      </c>
      <c r="AE23">
        <v>0</v>
      </c>
      <c r="AF23" t="s">
        <v>22</v>
      </c>
      <c r="AG23">
        <v>1.9181999999999997</v>
      </c>
      <c r="AH23">
        <v>2</v>
      </c>
      <c r="AI23">
        <v>44571424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ROW(Source!A37)</f>
        <v>37</v>
      </c>
      <c r="B24">
        <v>44571435</v>
      </c>
      <c r="C24">
        <v>44571420</v>
      </c>
      <c r="D24">
        <v>13902093</v>
      </c>
      <c r="E24">
        <v>1</v>
      </c>
      <c r="F24">
        <v>1</v>
      </c>
      <c r="G24">
        <v>1</v>
      </c>
      <c r="H24">
        <v>2</v>
      </c>
      <c r="I24" t="s">
        <v>476</v>
      </c>
      <c r="J24" t="s">
        <v>477</v>
      </c>
      <c r="K24" t="s">
        <v>478</v>
      </c>
      <c r="L24">
        <v>1368</v>
      </c>
      <c r="N24">
        <v>1011</v>
      </c>
      <c r="O24" t="s">
        <v>453</v>
      </c>
      <c r="P24" t="s">
        <v>453</v>
      </c>
      <c r="Q24">
        <v>1</v>
      </c>
      <c r="X24">
        <v>12</v>
      </c>
      <c r="Y24">
        <v>0</v>
      </c>
      <c r="Z24">
        <v>35.86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22</v>
      </c>
      <c r="AG24">
        <v>16.56</v>
      </c>
      <c r="AH24">
        <v>2</v>
      </c>
      <c r="AI24">
        <v>44571425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ROW(Source!A37)</f>
        <v>37</v>
      </c>
      <c r="B25">
        <v>44571436</v>
      </c>
      <c r="C25">
        <v>44571420</v>
      </c>
      <c r="D25">
        <v>13902290</v>
      </c>
      <c r="E25">
        <v>1</v>
      </c>
      <c r="F25">
        <v>1</v>
      </c>
      <c r="G25">
        <v>1</v>
      </c>
      <c r="H25">
        <v>2</v>
      </c>
      <c r="I25" t="s">
        <v>479</v>
      </c>
      <c r="J25" t="s">
        <v>480</v>
      </c>
      <c r="K25" t="s">
        <v>481</v>
      </c>
      <c r="L25">
        <v>1368</v>
      </c>
      <c r="N25">
        <v>1011</v>
      </c>
      <c r="O25" t="s">
        <v>453</v>
      </c>
      <c r="P25" t="s">
        <v>453</v>
      </c>
      <c r="Q25">
        <v>1</v>
      </c>
      <c r="X25">
        <v>28.54</v>
      </c>
      <c r="Y25">
        <v>0</v>
      </c>
      <c r="Z25">
        <v>109.39</v>
      </c>
      <c r="AA25">
        <v>13.12</v>
      </c>
      <c r="AB25">
        <v>0</v>
      </c>
      <c r="AC25">
        <v>0</v>
      </c>
      <c r="AD25">
        <v>1</v>
      </c>
      <c r="AE25">
        <v>0</v>
      </c>
      <c r="AF25" t="s">
        <v>22</v>
      </c>
      <c r="AG25">
        <v>39.3852</v>
      </c>
      <c r="AH25">
        <v>2</v>
      </c>
      <c r="AI25">
        <v>44571426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ROW(Source!A37)</f>
        <v>37</v>
      </c>
      <c r="B26">
        <v>44571437</v>
      </c>
      <c r="C26">
        <v>44571420</v>
      </c>
      <c r="D26">
        <v>13904227</v>
      </c>
      <c r="E26">
        <v>1</v>
      </c>
      <c r="F26">
        <v>1</v>
      </c>
      <c r="G26">
        <v>1</v>
      </c>
      <c r="H26">
        <v>2</v>
      </c>
      <c r="I26" t="s">
        <v>482</v>
      </c>
      <c r="J26" t="s">
        <v>483</v>
      </c>
      <c r="K26" t="s">
        <v>484</v>
      </c>
      <c r="L26">
        <v>1368</v>
      </c>
      <c r="N26">
        <v>1011</v>
      </c>
      <c r="O26" t="s">
        <v>453</v>
      </c>
      <c r="P26" t="s">
        <v>453</v>
      </c>
      <c r="Q26">
        <v>1</v>
      </c>
      <c r="X26">
        <v>0.52</v>
      </c>
      <c r="Y26">
        <v>0</v>
      </c>
      <c r="Z26">
        <v>80.75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22</v>
      </c>
      <c r="AG26">
        <v>0.7175999999999999</v>
      </c>
      <c r="AH26">
        <v>2</v>
      </c>
      <c r="AI26">
        <v>44571427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ROW(Source!A37)</f>
        <v>37</v>
      </c>
      <c r="B27">
        <v>44571438</v>
      </c>
      <c r="C27">
        <v>44571420</v>
      </c>
      <c r="D27">
        <v>13907450</v>
      </c>
      <c r="E27">
        <v>1</v>
      </c>
      <c r="F27">
        <v>1</v>
      </c>
      <c r="G27">
        <v>1</v>
      </c>
      <c r="H27">
        <v>3</v>
      </c>
      <c r="I27" t="s">
        <v>485</v>
      </c>
      <c r="J27" t="s">
        <v>486</v>
      </c>
      <c r="K27" t="s">
        <v>487</v>
      </c>
      <c r="L27">
        <v>1327</v>
      </c>
      <c r="N27">
        <v>1005</v>
      </c>
      <c r="O27" t="s">
        <v>488</v>
      </c>
      <c r="P27" t="s">
        <v>488</v>
      </c>
      <c r="Q27">
        <v>1</v>
      </c>
      <c r="X27">
        <v>0.44</v>
      </c>
      <c r="Y27">
        <v>7.41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0.44</v>
      </c>
      <c r="AH27">
        <v>2</v>
      </c>
      <c r="AI27">
        <v>44571428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ROW(Source!A37)</f>
        <v>37</v>
      </c>
      <c r="B28">
        <v>44571439</v>
      </c>
      <c r="C28">
        <v>44571420</v>
      </c>
      <c r="D28">
        <v>13985061</v>
      </c>
      <c r="E28">
        <v>1</v>
      </c>
      <c r="F28">
        <v>1</v>
      </c>
      <c r="G28">
        <v>1</v>
      </c>
      <c r="H28">
        <v>3</v>
      </c>
      <c r="I28" t="s">
        <v>489</v>
      </c>
      <c r="J28" t="s">
        <v>490</v>
      </c>
      <c r="K28" t="s">
        <v>491</v>
      </c>
      <c r="L28">
        <v>1339</v>
      </c>
      <c r="N28">
        <v>1007</v>
      </c>
      <c r="O28" t="s">
        <v>283</v>
      </c>
      <c r="P28" t="s">
        <v>283</v>
      </c>
      <c r="Q28">
        <v>1</v>
      </c>
      <c r="X28">
        <v>18</v>
      </c>
      <c r="Y28">
        <v>6.3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18</v>
      </c>
      <c r="AH28">
        <v>2</v>
      </c>
      <c r="AI28">
        <v>44571429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ROW(Source!A37)</f>
        <v>37</v>
      </c>
      <c r="B29">
        <v>44571440</v>
      </c>
      <c r="C29">
        <v>44571420</v>
      </c>
      <c r="D29">
        <v>13999039</v>
      </c>
      <c r="E29">
        <v>1</v>
      </c>
      <c r="F29">
        <v>1</v>
      </c>
      <c r="G29">
        <v>1</v>
      </c>
      <c r="H29">
        <v>3</v>
      </c>
      <c r="I29" t="s">
        <v>492</v>
      </c>
      <c r="J29" t="s">
        <v>493</v>
      </c>
      <c r="K29" t="s">
        <v>494</v>
      </c>
      <c r="L29">
        <v>1302</v>
      </c>
      <c r="N29">
        <v>1003</v>
      </c>
      <c r="O29" t="s">
        <v>248</v>
      </c>
      <c r="P29" t="s">
        <v>248</v>
      </c>
      <c r="Q29">
        <v>10</v>
      </c>
      <c r="X29">
        <v>101</v>
      </c>
      <c r="Y29">
        <v>752.22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101</v>
      </c>
      <c r="AH29">
        <v>2</v>
      </c>
      <c r="AI29">
        <v>44571430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ROW(Source!A38)</f>
        <v>38</v>
      </c>
      <c r="B30">
        <v>44571445</v>
      </c>
      <c r="C30">
        <v>44571441</v>
      </c>
      <c r="D30">
        <v>9914912</v>
      </c>
      <c r="E30">
        <v>1</v>
      </c>
      <c r="F30">
        <v>1</v>
      </c>
      <c r="G30">
        <v>1</v>
      </c>
      <c r="H30">
        <v>1</v>
      </c>
      <c r="I30" t="s">
        <v>495</v>
      </c>
      <c r="K30" t="s">
        <v>496</v>
      </c>
      <c r="L30">
        <v>1191</v>
      </c>
      <c r="N30">
        <v>1013</v>
      </c>
      <c r="O30" t="s">
        <v>445</v>
      </c>
      <c r="P30" t="s">
        <v>445</v>
      </c>
      <c r="Q30">
        <v>1</v>
      </c>
      <c r="X30">
        <v>40</v>
      </c>
      <c r="Y30">
        <v>0</v>
      </c>
      <c r="Z30">
        <v>0</v>
      </c>
      <c r="AA30">
        <v>0</v>
      </c>
      <c r="AB30">
        <v>7.72</v>
      </c>
      <c r="AC30">
        <v>0</v>
      </c>
      <c r="AD30">
        <v>1</v>
      </c>
      <c r="AE30">
        <v>1</v>
      </c>
      <c r="AF30" t="s">
        <v>86</v>
      </c>
      <c r="AG30">
        <v>55.199999999999996</v>
      </c>
      <c r="AH30">
        <v>2</v>
      </c>
      <c r="AI30">
        <v>44571442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ROW(Source!A38)</f>
        <v>38</v>
      </c>
      <c r="B31">
        <v>44571446</v>
      </c>
      <c r="C31">
        <v>44571441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28</v>
      </c>
      <c r="K31" t="s">
        <v>446</v>
      </c>
      <c r="L31">
        <v>608254</v>
      </c>
      <c r="N31">
        <v>1013</v>
      </c>
      <c r="O31" t="s">
        <v>447</v>
      </c>
      <c r="P31" t="s">
        <v>447</v>
      </c>
      <c r="Q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86</v>
      </c>
      <c r="AG31">
        <v>0</v>
      </c>
      <c r="AH31">
        <v>2</v>
      </c>
      <c r="AI31">
        <v>44571443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ROW(Source!A38)</f>
        <v>38</v>
      </c>
      <c r="B32">
        <v>44571447</v>
      </c>
      <c r="C32">
        <v>44571441</v>
      </c>
      <c r="D32">
        <v>13984228</v>
      </c>
      <c r="E32">
        <v>1</v>
      </c>
      <c r="F32">
        <v>1</v>
      </c>
      <c r="G32">
        <v>1</v>
      </c>
      <c r="H32">
        <v>3</v>
      </c>
      <c r="I32" t="s">
        <v>497</v>
      </c>
      <c r="J32" t="s">
        <v>498</v>
      </c>
      <c r="K32" t="s">
        <v>499</v>
      </c>
      <c r="L32">
        <v>1339</v>
      </c>
      <c r="N32">
        <v>1007</v>
      </c>
      <c r="O32" t="s">
        <v>283</v>
      </c>
      <c r="P32" t="s">
        <v>283</v>
      </c>
      <c r="Q32">
        <v>1</v>
      </c>
      <c r="X32">
        <v>15</v>
      </c>
      <c r="Y32">
        <v>129.37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15</v>
      </c>
      <c r="AH32">
        <v>2</v>
      </c>
      <c r="AI32">
        <v>44571444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ROW(Source!A39)</f>
        <v>39</v>
      </c>
      <c r="B33">
        <v>44571452</v>
      </c>
      <c r="C33">
        <v>44571448</v>
      </c>
      <c r="D33">
        <v>9914912</v>
      </c>
      <c r="E33">
        <v>1</v>
      </c>
      <c r="F33">
        <v>1</v>
      </c>
      <c r="G33">
        <v>1</v>
      </c>
      <c r="H33">
        <v>1</v>
      </c>
      <c r="I33" t="s">
        <v>495</v>
      </c>
      <c r="K33" t="s">
        <v>496</v>
      </c>
      <c r="L33">
        <v>1191</v>
      </c>
      <c r="N33">
        <v>1013</v>
      </c>
      <c r="O33" t="s">
        <v>445</v>
      </c>
      <c r="P33" t="s">
        <v>445</v>
      </c>
      <c r="Q33">
        <v>1</v>
      </c>
      <c r="X33">
        <v>5.47</v>
      </c>
      <c r="Y33">
        <v>0</v>
      </c>
      <c r="Z33">
        <v>0</v>
      </c>
      <c r="AA33">
        <v>0</v>
      </c>
      <c r="AB33">
        <v>7.72</v>
      </c>
      <c r="AC33">
        <v>0</v>
      </c>
      <c r="AD33">
        <v>1</v>
      </c>
      <c r="AE33">
        <v>1</v>
      </c>
      <c r="AF33" t="s">
        <v>22</v>
      </c>
      <c r="AG33">
        <v>7.548599999999999</v>
      </c>
      <c r="AH33">
        <v>2</v>
      </c>
      <c r="AI33">
        <v>44571449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ROW(Source!A39)</f>
        <v>39</v>
      </c>
      <c r="B34">
        <v>44571453</v>
      </c>
      <c r="C34">
        <v>44571448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28</v>
      </c>
      <c r="K34" t="s">
        <v>446</v>
      </c>
      <c r="L34">
        <v>608254</v>
      </c>
      <c r="N34">
        <v>1013</v>
      </c>
      <c r="O34" t="s">
        <v>447</v>
      </c>
      <c r="P34" t="s">
        <v>447</v>
      </c>
      <c r="Q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22</v>
      </c>
      <c r="AG34">
        <v>0</v>
      </c>
      <c r="AH34">
        <v>2</v>
      </c>
      <c r="AI34">
        <v>44571450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ROW(Source!A39)</f>
        <v>39</v>
      </c>
      <c r="B35">
        <v>44571454</v>
      </c>
      <c r="C35">
        <v>44571448</v>
      </c>
      <c r="D35">
        <v>13984228</v>
      </c>
      <c r="E35">
        <v>1</v>
      </c>
      <c r="F35">
        <v>1</v>
      </c>
      <c r="G35">
        <v>1</v>
      </c>
      <c r="H35">
        <v>3</v>
      </c>
      <c r="I35" t="s">
        <v>497</v>
      </c>
      <c r="J35" t="s">
        <v>498</v>
      </c>
      <c r="K35" t="s">
        <v>499</v>
      </c>
      <c r="L35">
        <v>1339</v>
      </c>
      <c r="N35">
        <v>1007</v>
      </c>
      <c r="O35" t="s">
        <v>283</v>
      </c>
      <c r="P35" t="s">
        <v>283</v>
      </c>
      <c r="Q35">
        <v>1</v>
      </c>
      <c r="X35">
        <v>5</v>
      </c>
      <c r="Y35">
        <v>129.37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5</v>
      </c>
      <c r="AH35">
        <v>2</v>
      </c>
      <c r="AI35">
        <v>44571451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ROW(Source!A84)</f>
        <v>84</v>
      </c>
      <c r="B36">
        <v>44571460</v>
      </c>
      <c r="C36">
        <v>44571455</v>
      </c>
      <c r="D36">
        <v>9915120</v>
      </c>
      <c r="E36">
        <v>1</v>
      </c>
      <c r="F36">
        <v>1</v>
      </c>
      <c r="G36">
        <v>1</v>
      </c>
      <c r="H36">
        <v>1</v>
      </c>
      <c r="I36" t="s">
        <v>500</v>
      </c>
      <c r="K36" t="s">
        <v>501</v>
      </c>
      <c r="L36">
        <v>1191</v>
      </c>
      <c r="N36">
        <v>1013</v>
      </c>
      <c r="O36" t="s">
        <v>445</v>
      </c>
      <c r="P36" t="s">
        <v>445</v>
      </c>
      <c r="Q36">
        <v>1</v>
      </c>
      <c r="X36">
        <v>5.3</v>
      </c>
      <c r="Y36">
        <v>0</v>
      </c>
      <c r="Z36">
        <v>0</v>
      </c>
      <c r="AA36">
        <v>0</v>
      </c>
      <c r="AB36">
        <v>9.35</v>
      </c>
      <c r="AC36">
        <v>0</v>
      </c>
      <c r="AD36">
        <v>1</v>
      </c>
      <c r="AE36">
        <v>1</v>
      </c>
      <c r="AF36" t="s">
        <v>22</v>
      </c>
      <c r="AG36">
        <v>7.313999999999999</v>
      </c>
      <c r="AH36">
        <v>2</v>
      </c>
      <c r="AI36">
        <v>44571456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ROW(Source!A84)</f>
        <v>84</v>
      </c>
      <c r="B37">
        <v>44571461</v>
      </c>
      <c r="C37">
        <v>44571455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28</v>
      </c>
      <c r="K37" t="s">
        <v>446</v>
      </c>
      <c r="L37">
        <v>608254</v>
      </c>
      <c r="N37">
        <v>1013</v>
      </c>
      <c r="O37" t="s">
        <v>447</v>
      </c>
      <c r="P37" t="s">
        <v>447</v>
      </c>
      <c r="Q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22</v>
      </c>
      <c r="AG37">
        <v>0</v>
      </c>
      <c r="AH37">
        <v>2</v>
      </c>
      <c r="AI37">
        <v>44571457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ROW(Source!A84)</f>
        <v>84</v>
      </c>
      <c r="B38">
        <v>44571462</v>
      </c>
      <c r="C38">
        <v>44571455</v>
      </c>
      <c r="D38">
        <v>13904227</v>
      </c>
      <c r="E38">
        <v>1</v>
      </c>
      <c r="F38">
        <v>1</v>
      </c>
      <c r="G38">
        <v>1</v>
      </c>
      <c r="H38">
        <v>2</v>
      </c>
      <c r="I38" t="s">
        <v>482</v>
      </c>
      <c r="J38" t="s">
        <v>483</v>
      </c>
      <c r="K38" t="s">
        <v>484</v>
      </c>
      <c r="L38">
        <v>1368</v>
      </c>
      <c r="N38">
        <v>1011</v>
      </c>
      <c r="O38" t="s">
        <v>453</v>
      </c>
      <c r="P38" t="s">
        <v>453</v>
      </c>
      <c r="Q38">
        <v>1</v>
      </c>
      <c r="X38">
        <v>3.9</v>
      </c>
      <c r="Y38">
        <v>0</v>
      </c>
      <c r="Z38">
        <v>80.75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22</v>
      </c>
      <c r="AG38">
        <v>5.382</v>
      </c>
      <c r="AH38">
        <v>2</v>
      </c>
      <c r="AI38">
        <v>44571458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ROW(Source!A84)</f>
        <v>84</v>
      </c>
      <c r="B39">
        <v>44571463</v>
      </c>
      <c r="C39">
        <v>44571455</v>
      </c>
      <c r="D39">
        <v>14105700</v>
      </c>
      <c r="E39">
        <v>1</v>
      </c>
      <c r="F39">
        <v>1</v>
      </c>
      <c r="G39">
        <v>1</v>
      </c>
      <c r="H39">
        <v>3</v>
      </c>
      <c r="I39" t="s">
        <v>502</v>
      </c>
      <c r="J39" t="s">
        <v>503</v>
      </c>
      <c r="K39" t="s">
        <v>504</v>
      </c>
      <c r="L39">
        <v>1374</v>
      </c>
      <c r="N39">
        <v>1013</v>
      </c>
      <c r="O39" t="s">
        <v>505</v>
      </c>
      <c r="P39" t="s">
        <v>505</v>
      </c>
      <c r="Q39">
        <v>1</v>
      </c>
      <c r="X39">
        <v>0.99</v>
      </c>
      <c r="Y39">
        <v>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0.99</v>
      </c>
      <c r="AH39">
        <v>2</v>
      </c>
      <c r="AI39">
        <v>44571459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ROW(Source!A85)</f>
        <v>85</v>
      </c>
      <c r="B40">
        <v>44571470</v>
      </c>
      <c r="C40">
        <v>44571464</v>
      </c>
      <c r="D40">
        <v>9915120</v>
      </c>
      <c r="E40">
        <v>1</v>
      </c>
      <c r="F40">
        <v>1</v>
      </c>
      <c r="G40">
        <v>1</v>
      </c>
      <c r="H40">
        <v>1</v>
      </c>
      <c r="I40" t="s">
        <v>500</v>
      </c>
      <c r="K40" t="s">
        <v>501</v>
      </c>
      <c r="L40">
        <v>1191</v>
      </c>
      <c r="N40">
        <v>1013</v>
      </c>
      <c r="O40" t="s">
        <v>445</v>
      </c>
      <c r="P40" t="s">
        <v>445</v>
      </c>
      <c r="Q40">
        <v>1</v>
      </c>
      <c r="X40">
        <v>5.21</v>
      </c>
      <c r="Y40">
        <v>0</v>
      </c>
      <c r="Z40">
        <v>0</v>
      </c>
      <c r="AA40">
        <v>0</v>
      </c>
      <c r="AB40">
        <v>9.35</v>
      </c>
      <c r="AC40">
        <v>0</v>
      </c>
      <c r="AD40">
        <v>1</v>
      </c>
      <c r="AE40">
        <v>1</v>
      </c>
      <c r="AF40" t="s">
        <v>22</v>
      </c>
      <c r="AG40">
        <v>7.189799999999999</v>
      </c>
      <c r="AH40">
        <v>2</v>
      </c>
      <c r="AI40">
        <v>44571465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ROW(Source!A85)</f>
        <v>85</v>
      </c>
      <c r="B41">
        <v>44571471</v>
      </c>
      <c r="C41">
        <v>44571464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28</v>
      </c>
      <c r="K41" t="s">
        <v>446</v>
      </c>
      <c r="L41">
        <v>608254</v>
      </c>
      <c r="N41">
        <v>1013</v>
      </c>
      <c r="O41" t="s">
        <v>447</v>
      </c>
      <c r="P41" t="s">
        <v>447</v>
      </c>
      <c r="Q41">
        <v>1</v>
      </c>
      <c r="X41">
        <v>1.73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22</v>
      </c>
      <c r="AG41">
        <v>2.3874</v>
      </c>
      <c r="AH41">
        <v>2</v>
      </c>
      <c r="AI41">
        <v>44571466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ROW(Source!A85)</f>
        <v>85</v>
      </c>
      <c r="B42">
        <v>44571472</v>
      </c>
      <c r="C42">
        <v>44571464</v>
      </c>
      <c r="D42">
        <v>13901789</v>
      </c>
      <c r="E42">
        <v>1</v>
      </c>
      <c r="F42">
        <v>1</v>
      </c>
      <c r="G42">
        <v>1</v>
      </c>
      <c r="H42">
        <v>2</v>
      </c>
      <c r="I42" t="s">
        <v>506</v>
      </c>
      <c r="J42" t="s">
        <v>507</v>
      </c>
      <c r="K42" t="s">
        <v>508</v>
      </c>
      <c r="L42">
        <v>1368</v>
      </c>
      <c r="N42">
        <v>1011</v>
      </c>
      <c r="O42" t="s">
        <v>453</v>
      </c>
      <c r="P42" t="s">
        <v>453</v>
      </c>
      <c r="Q42">
        <v>1</v>
      </c>
      <c r="X42">
        <v>1.73</v>
      </c>
      <c r="Y42">
        <v>0</v>
      </c>
      <c r="Z42">
        <v>156.72</v>
      </c>
      <c r="AA42">
        <v>13.12</v>
      </c>
      <c r="AB42">
        <v>0</v>
      </c>
      <c r="AC42">
        <v>0</v>
      </c>
      <c r="AD42">
        <v>1</v>
      </c>
      <c r="AE42">
        <v>0</v>
      </c>
      <c r="AF42" t="s">
        <v>22</v>
      </c>
      <c r="AG42">
        <v>2.3874</v>
      </c>
      <c r="AH42">
        <v>2</v>
      </c>
      <c r="AI42">
        <v>44571467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ROW(Source!A85)</f>
        <v>85</v>
      </c>
      <c r="B43">
        <v>44571473</v>
      </c>
      <c r="C43">
        <v>44571464</v>
      </c>
      <c r="D43">
        <v>13904227</v>
      </c>
      <c r="E43">
        <v>1</v>
      </c>
      <c r="F43">
        <v>1</v>
      </c>
      <c r="G43">
        <v>1</v>
      </c>
      <c r="H43">
        <v>2</v>
      </c>
      <c r="I43" t="s">
        <v>482</v>
      </c>
      <c r="J43" t="s">
        <v>483</v>
      </c>
      <c r="K43" t="s">
        <v>484</v>
      </c>
      <c r="L43">
        <v>1368</v>
      </c>
      <c r="N43">
        <v>1011</v>
      </c>
      <c r="O43" t="s">
        <v>453</v>
      </c>
      <c r="P43" t="s">
        <v>453</v>
      </c>
      <c r="Q43">
        <v>1</v>
      </c>
      <c r="X43">
        <v>1.73</v>
      </c>
      <c r="Y43">
        <v>0</v>
      </c>
      <c r="Z43">
        <v>80.75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22</v>
      </c>
      <c r="AG43">
        <v>2.3874</v>
      </c>
      <c r="AH43">
        <v>2</v>
      </c>
      <c r="AI43">
        <v>44571468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ROW(Source!A85)</f>
        <v>85</v>
      </c>
      <c r="B44">
        <v>44571474</v>
      </c>
      <c r="C44">
        <v>44571464</v>
      </c>
      <c r="D44">
        <v>14105700</v>
      </c>
      <c r="E44">
        <v>1</v>
      </c>
      <c r="F44">
        <v>1</v>
      </c>
      <c r="G44">
        <v>1</v>
      </c>
      <c r="H44">
        <v>3</v>
      </c>
      <c r="I44" t="s">
        <v>502</v>
      </c>
      <c r="J44" t="s">
        <v>503</v>
      </c>
      <c r="K44" t="s">
        <v>504</v>
      </c>
      <c r="L44">
        <v>1374</v>
      </c>
      <c r="N44">
        <v>1013</v>
      </c>
      <c r="O44" t="s">
        <v>505</v>
      </c>
      <c r="P44" t="s">
        <v>505</v>
      </c>
      <c r="Q44">
        <v>1</v>
      </c>
      <c r="X44">
        <v>0.97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0.97</v>
      </c>
      <c r="AH44">
        <v>2</v>
      </c>
      <c r="AI44">
        <v>44571469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ROW(Source!A86)</f>
        <v>86</v>
      </c>
      <c r="B45">
        <v>44571488</v>
      </c>
      <c r="C45">
        <v>44571475</v>
      </c>
      <c r="D45">
        <v>9915120</v>
      </c>
      <c r="E45">
        <v>1</v>
      </c>
      <c r="F45">
        <v>1</v>
      </c>
      <c r="G45">
        <v>1</v>
      </c>
      <c r="H45">
        <v>1</v>
      </c>
      <c r="I45" t="s">
        <v>500</v>
      </c>
      <c r="K45" t="s">
        <v>501</v>
      </c>
      <c r="L45">
        <v>1191</v>
      </c>
      <c r="N45">
        <v>1013</v>
      </c>
      <c r="O45" t="s">
        <v>445</v>
      </c>
      <c r="P45" t="s">
        <v>445</v>
      </c>
      <c r="Q45">
        <v>1</v>
      </c>
      <c r="X45">
        <v>10.96</v>
      </c>
      <c r="Y45">
        <v>0</v>
      </c>
      <c r="Z45">
        <v>0</v>
      </c>
      <c r="AA45">
        <v>0</v>
      </c>
      <c r="AB45">
        <v>9.35</v>
      </c>
      <c r="AC45">
        <v>0</v>
      </c>
      <c r="AD45">
        <v>1</v>
      </c>
      <c r="AE45">
        <v>1</v>
      </c>
      <c r="AF45" t="s">
        <v>86</v>
      </c>
      <c r="AG45">
        <v>15.124799999999999</v>
      </c>
      <c r="AH45">
        <v>2</v>
      </c>
      <c r="AI45">
        <v>44571476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ROW(Source!A86)</f>
        <v>86</v>
      </c>
      <c r="B46">
        <v>44571489</v>
      </c>
      <c r="C46">
        <v>44571475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28</v>
      </c>
      <c r="K46" t="s">
        <v>446</v>
      </c>
      <c r="L46">
        <v>608254</v>
      </c>
      <c r="N46">
        <v>1013</v>
      </c>
      <c r="O46" t="s">
        <v>447</v>
      </c>
      <c r="P46" t="s">
        <v>447</v>
      </c>
      <c r="Q46">
        <v>1</v>
      </c>
      <c r="X46">
        <v>0.45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86</v>
      </c>
      <c r="AG46">
        <v>0.6209999999999999</v>
      </c>
      <c r="AH46">
        <v>2</v>
      </c>
      <c r="AI46">
        <v>44571477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ROW(Source!A86)</f>
        <v>86</v>
      </c>
      <c r="B47">
        <v>44571490</v>
      </c>
      <c r="C47">
        <v>44571475</v>
      </c>
      <c r="D47">
        <v>13901789</v>
      </c>
      <c r="E47">
        <v>1</v>
      </c>
      <c r="F47">
        <v>1</v>
      </c>
      <c r="G47">
        <v>1</v>
      </c>
      <c r="H47">
        <v>2</v>
      </c>
      <c r="I47" t="s">
        <v>506</v>
      </c>
      <c r="J47" t="s">
        <v>507</v>
      </c>
      <c r="K47" t="s">
        <v>508</v>
      </c>
      <c r="L47">
        <v>1368</v>
      </c>
      <c r="N47">
        <v>1011</v>
      </c>
      <c r="O47" t="s">
        <v>453</v>
      </c>
      <c r="P47" t="s">
        <v>453</v>
      </c>
      <c r="Q47">
        <v>1</v>
      </c>
      <c r="X47">
        <v>0.45</v>
      </c>
      <c r="Y47">
        <v>0</v>
      </c>
      <c r="Z47">
        <v>156.72</v>
      </c>
      <c r="AA47">
        <v>13.12</v>
      </c>
      <c r="AB47">
        <v>0</v>
      </c>
      <c r="AC47">
        <v>0</v>
      </c>
      <c r="AD47">
        <v>1</v>
      </c>
      <c r="AE47">
        <v>0</v>
      </c>
      <c r="AF47" t="s">
        <v>86</v>
      </c>
      <c r="AG47">
        <v>0.6209999999999999</v>
      </c>
      <c r="AH47">
        <v>2</v>
      </c>
      <c r="AI47">
        <v>44571478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ROW(Source!A86)</f>
        <v>86</v>
      </c>
      <c r="B48">
        <v>44571491</v>
      </c>
      <c r="C48">
        <v>44571475</v>
      </c>
      <c r="D48">
        <v>13901897</v>
      </c>
      <c r="E48">
        <v>1</v>
      </c>
      <c r="F48">
        <v>1</v>
      </c>
      <c r="G48">
        <v>1</v>
      </c>
      <c r="H48">
        <v>2</v>
      </c>
      <c r="I48" t="s">
        <v>509</v>
      </c>
      <c r="J48" t="s">
        <v>510</v>
      </c>
      <c r="K48" t="s">
        <v>511</v>
      </c>
      <c r="L48">
        <v>1368</v>
      </c>
      <c r="N48">
        <v>1011</v>
      </c>
      <c r="O48" t="s">
        <v>453</v>
      </c>
      <c r="P48" t="s">
        <v>453</v>
      </c>
      <c r="Q48">
        <v>1</v>
      </c>
      <c r="X48">
        <v>2.58</v>
      </c>
      <c r="Y48">
        <v>0</v>
      </c>
      <c r="Z48">
        <v>2.7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86</v>
      </c>
      <c r="AG48">
        <v>3.5603999999999996</v>
      </c>
      <c r="AH48">
        <v>2</v>
      </c>
      <c r="AI48">
        <v>44571479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ROW(Source!A86)</f>
        <v>86</v>
      </c>
      <c r="B49">
        <v>44571492</v>
      </c>
      <c r="C49">
        <v>44571475</v>
      </c>
      <c r="D49">
        <v>13901915</v>
      </c>
      <c r="E49">
        <v>1</v>
      </c>
      <c r="F49">
        <v>1</v>
      </c>
      <c r="G49">
        <v>1</v>
      </c>
      <c r="H49">
        <v>2</v>
      </c>
      <c r="I49" t="s">
        <v>512</v>
      </c>
      <c r="J49" t="s">
        <v>513</v>
      </c>
      <c r="K49" t="s">
        <v>514</v>
      </c>
      <c r="L49">
        <v>1368</v>
      </c>
      <c r="N49">
        <v>1011</v>
      </c>
      <c r="O49" t="s">
        <v>453</v>
      </c>
      <c r="P49" t="s">
        <v>453</v>
      </c>
      <c r="Q49">
        <v>1</v>
      </c>
      <c r="X49">
        <v>2.58</v>
      </c>
      <c r="Y49">
        <v>0</v>
      </c>
      <c r="Z49">
        <v>4.61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86</v>
      </c>
      <c r="AG49">
        <v>3.5603999999999996</v>
      </c>
      <c r="AH49">
        <v>2</v>
      </c>
      <c r="AI49">
        <v>44571480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ROW(Source!A86)</f>
        <v>86</v>
      </c>
      <c r="B50">
        <v>44571493</v>
      </c>
      <c r="C50">
        <v>44571475</v>
      </c>
      <c r="D50">
        <v>13904227</v>
      </c>
      <c r="E50">
        <v>1</v>
      </c>
      <c r="F50">
        <v>1</v>
      </c>
      <c r="G50">
        <v>1</v>
      </c>
      <c r="H50">
        <v>2</v>
      </c>
      <c r="I50" t="s">
        <v>482</v>
      </c>
      <c r="J50" t="s">
        <v>483</v>
      </c>
      <c r="K50" t="s">
        <v>484</v>
      </c>
      <c r="L50">
        <v>1368</v>
      </c>
      <c r="N50">
        <v>1011</v>
      </c>
      <c r="O50" t="s">
        <v>453</v>
      </c>
      <c r="P50" t="s">
        <v>453</v>
      </c>
      <c r="Q50">
        <v>1</v>
      </c>
      <c r="X50">
        <v>0.45</v>
      </c>
      <c r="Y50">
        <v>0</v>
      </c>
      <c r="Z50">
        <v>80.75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86</v>
      </c>
      <c r="AG50">
        <v>0.6209999999999999</v>
      </c>
      <c r="AH50">
        <v>2</v>
      </c>
      <c r="AI50">
        <v>44571481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ROW(Source!A86)</f>
        <v>86</v>
      </c>
      <c r="B51">
        <v>44571494</v>
      </c>
      <c r="C51">
        <v>44571475</v>
      </c>
      <c r="D51">
        <v>13907327</v>
      </c>
      <c r="E51">
        <v>1</v>
      </c>
      <c r="F51">
        <v>1</v>
      </c>
      <c r="G51">
        <v>1</v>
      </c>
      <c r="H51">
        <v>3</v>
      </c>
      <c r="I51" t="s">
        <v>515</v>
      </c>
      <c r="J51" t="s">
        <v>516</v>
      </c>
      <c r="K51" t="s">
        <v>517</v>
      </c>
      <c r="L51">
        <v>1348</v>
      </c>
      <c r="N51">
        <v>1009</v>
      </c>
      <c r="O51" t="s">
        <v>322</v>
      </c>
      <c r="P51" t="s">
        <v>322</v>
      </c>
      <c r="Q51">
        <v>1000</v>
      </c>
      <c r="X51">
        <v>0.01</v>
      </c>
      <c r="Y51">
        <v>7928.9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0.01</v>
      </c>
      <c r="AH51">
        <v>2</v>
      </c>
      <c r="AI51">
        <v>44571482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ROW(Source!A86)</f>
        <v>86</v>
      </c>
      <c r="B52">
        <v>44571495</v>
      </c>
      <c r="C52">
        <v>44571475</v>
      </c>
      <c r="D52">
        <v>13907466</v>
      </c>
      <c r="E52">
        <v>1</v>
      </c>
      <c r="F52">
        <v>1</v>
      </c>
      <c r="G52">
        <v>1</v>
      </c>
      <c r="H52">
        <v>3</v>
      </c>
      <c r="I52" t="s">
        <v>518</v>
      </c>
      <c r="J52" t="s">
        <v>519</v>
      </c>
      <c r="K52" t="s">
        <v>520</v>
      </c>
      <c r="L52">
        <v>1348</v>
      </c>
      <c r="N52">
        <v>1009</v>
      </c>
      <c r="O52" t="s">
        <v>322</v>
      </c>
      <c r="P52" t="s">
        <v>322</v>
      </c>
      <c r="Q52">
        <v>1000</v>
      </c>
      <c r="X52">
        <v>0.001</v>
      </c>
      <c r="Y52">
        <v>6374.01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0.001</v>
      </c>
      <c r="AH52">
        <v>2</v>
      </c>
      <c r="AI52">
        <v>44571483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ROW(Source!A86)</f>
        <v>86</v>
      </c>
      <c r="B53">
        <v>44571496</v>
      </c>
      <c r="C53">
        <v>44571475</v>
      </c>
      <c r="D53">
        <v>13907882</v>
      </c>
      <c r="E53">
        <v>1</v>
      </c>
      <c r="F53">
        <v>1</v>
      </c>
      <c r="G53">
        <v>1</v>
      </c>
      <c r="H53">
        <v>3</v>
      </c>
      <c r="I53" t="s">
        <v>521</v>
      </c>
      <c r="J53" t="s">
        <v>522</v>
      </c>
      <c r="K53" t="s">
        <v>523</v>
      </c>
      <c r="L53">
        <v>1346</v>
      </c>
      <c r="N53">
        <v>1009</v>
      </c>
      <c r="O53" t="s">
        <v>222</v>
      </c>
      <c r="P53" t="s">
        <v>222</v>
      </c>
      <c r="Q53">
        <v>1</v>
      </c>
      <c r="X53">
        <v>0.25</v>
      </c>
      <c r="Y53">
        <v>28.89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0.25</v>
      </c>
      <c r="AH53">
        <v>2</v>
      </c>
      <c r="AI53">
        <v>44571484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ROW(Source!A86)</f>
        <v>86</v>
      </c>
      <c r="B54">
        <v>44571497</v>
      </c>
      <c r="C54">
        <v>44571475</v>
      </c>
      <c r="D54">
        <v>13908341</v>
      </c>
      <c r="E54">
        <v>1</v>
      </c>
      <c r="F54">
        <v>1</v>
      </c>
      <c r="G54">
        <v>1</v>
      </c>
      <c r="H54">
        <v>3</v>
      </c>
      <c r="I54" t="s">
        <v>524</v>
      </c>
      <c r="J54" t="s">
        <v>525</v>
      </c>
      <c r="K54" t="s">
        <v>526</v>
      </c>
      <c r="L54">
        <v>1308</v>
      </c>
      <c r="N54">
        <v>1003</v>
      </c>
      <c r="O54" t="s">
        <v>527</v>
      </c>
      <c r="P54" t="s">
        <v>527</v>
      </c>
      <c r="Q54">
        <v>100</v>
      </c>
      <c r="X54">
        <v>0.0096</v>
      </c>
      <c r="Y54">
        <v>115.45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0.0096</v>
      </c>
      <c r="AH54">
        <v>2</v>
      </c>
      <c r="AI54">
        <v>44571485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ROW(Source!A86)</f>
        <v>86</v>
      </c>
      <c r="B55">
        <v>44571498</v>
      </c>
      <c r="C55">
        <v>44571475</v>
      </c>
      <c r="D55">
        <v>13930780</v>
      </c>
      <c r="E55">
        <v>1</v>
      </c>
      <c r="F55">
        <v>1</v>
      </c>
      <c r="G55">
        <v>1</v>
      </c>
      <c r="H55">
        <v>3</v>
      </c>
      <c r="I55" t="s">
        <v>528</v>
      </c>
      <c r="J55" t="s">
        <v>529</v>
      </c>
      <c r="K55" t="s">
        <v>530</v>
      </c>
      <c r="L55">
        <v>1348</v>
      </c>
      <c r="N55">
        <v>1009</v>
      </c>
      <c r="O55" t="s">
        <v>322</v>
      </c>
      <c r="P55" t="s">
        <v>322</v>
      </c>
      <c r="Q55">
        <v>1000</v>
      </c>
      <c r="X55">
        <v>6E-05</v>
      </c>
      <c r="Y55">
        <v>9345.32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6E-05</v>
      </c>
      <c r="AH55">
        <v>2</v>
      </c>
      <c r="AI55">
        <v>44571486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ROW(Source!A86)</f>
        <v>86</v>
      </c>
      <c r="B56">
        <v>44571499</v>
      </c>
      <c r="C56">
        <v>44571475</v>
      </c>
      <c r="D56">
        <v>14105700</v>
      </c>
      <c r="E56">
        <v>1</v>
      </c>
      <c r="F56">
        <v>1</v>
      </c>
      <c r="G56">
        <v>1</v>
      </c>
      <c r="H56">
        <v>3</v>
      </c>
      <c r="I56" t="s">
        <v>502</v>
      </c>
      <c r="J56" t="s">
        <v>503</v>
      </c>
      <c r="K56" t="s">
        <v>504</v>
      </c>
      <c r="L56">
        <v>1374</v>
      </c>
      <c r="N56">
        <v>1013</v>
      </c>
      <c r="O56" t="s">
        <v>505</v>
      </c>
      <c r="P56" t="s">
        <v>505</v>
      </c>
      <c r="Q56">
        <v>1</v>
      </c>
      <c r="X56">
        <v>2.05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2.05</v>
      </c>
      <c r="AH56">
        <v>2</v>
      </c>
      <c r="AI56">
        <v>44571487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ROW(Source!A87)</f>
        <v>87</v>
      </c>
      <c r="B57">
        <v>44571511</v>
      </c>
      <c r="C57">
        <v>44571500</v>
      </c>
      <c r="D57">
        <v>9915120</v>
      </c>
      <c r="E57">
        <v>1</v>
      </c>
      <c r="F57">
        <v>1</v>
      </c>
      <c r="G57">
        <v>1</v>
      </c>
      <c r="H57">
        <v>1</v>
      </c>
      <c r="I57" t="s">
        <v>500</v>
      </c>
      <c r="K57" t="s">
        <v>501</v>
      </c>
      <c r="L57">
        <v>1191</v>
      </c>
      <c r="N57">
        <v>1013</v>
      </c>
      <c r="O57" t="s">
        <v>445</v>
      </c>
      <c r="P57" t="s">
        <v>445</v>
      </c>
      <c r="Q57">
        <v>1</v>
      </c>
      <c r="X57">
        <v>14.64</v>
      </c>
      <c r="Y57">
        <v>0</v>
      </c>
      <c r="Z57">
        <v>0</v>
      </c>
      <c r="AA57">
        <v>0</v>
      </c>
      <c r="AB57">
        <v>9.35</v>
      </c>
      <c r="AC57">
        <v>0</v>
      </c>
      <c r="AD57">
        <v>1</v>
      </c>
      <c r="AE57">
        <v>1</v>
      </c>
      <c r="AF57" t="s">
        <v>22</v>
      </c>
      <c r="AG57">
        <v>20.2032</v>
      </c>
      <c r="AH57">
        <v>2</v>
      </c>
      <c r="AI57">
        <v>44571501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ROW(Source!A87)</f>
        <v>87</v>
      </c>
      <c r="B58">
        <v>44571512</v>
      </c>
      <c r="C58">
        <v>44571500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28</v>
      </c>
      <c r="K58" t="s">
        <v>446</v>
      </c>
      <c r="L58">
        <v>608254</v>
      </c>
      <c r="N58">
        <v>1013</v>
      </c>
      <c r="O58" t="s">
        <v>447</v>
      </c>
      <c r="P58" t="s">
        <v>447</v>
      </c>
      <c r="Q58">
        <v>1</v>
      </c>
      <c r="X58">
        <v>0.2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22</v>
      </c>
      <c r="AG58">
        <v>0.27599999999999997</v>
      </c>
      <c r="AH58">
        <v>2</v>
      </c>
      <c r="AI58">
        <v>44571502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ROW(Source!A87)</f>
        <v>87</v>
      </c>
      <c r="B59">
        <v>44571513</v>
      </c>
      <c r="C59">
        <v>44571500</v>
      </c>
      <c r="D59">
        <v>13901789</v>
      </c>
      <c r="E59">
        <v>1</v>
      </c>
      <c r="F59">
        <v>1</v>
      </c>
      <c r="G59">
        <v>1</v>
      </c>
      <c r="H59">
        <v>2</v>
      </c>
      <c r="I59" t="s">
        <v>506</v>
      </c>
      <c r="J59" t="s">
        <v>507</v>
      </c>
      <c r="K59" t="s">
        <v>508</v>
      </c>
      <c r="L59">
        <v>1368</v>
      </c>
      <c r="N59">
        <v>1011</v>
      </c>
      <c r="O59" t="s">
        <v>453</v>
      </c>
      <c r="P59" t="s">
        <v>453</v>
      </c>
      <c r="Q59">
        <v>1</v>
      </c>
      <c r="X59">
        <v>0.2</v>
      </c>
      <c r="Y59">
        <v>0</v>
      </c>
      <c r="Z59">
        <v>156.72</v>
      </c>
      <c r="AA59">
        <v>13.12</v>
      </c>
      <c r="AB59">
        <v>0</v>
      </c>
      <c r="AC59">
        <v>0</v>
      </c>
      <c r="AD59">
        <v>1</v>
      </c>
      <c r="AE59">
        <v>0</v>
      </c>
      <c r="AF59" t="s">
        <v>22</v>
      </c>
      <c r="AG59">
        <v>0.27599999999999997</v>
      </c>
      <c r="AH59">
        <v>2</v>
      </c>
      <c r="AI59">
        <v>44571503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ROW(Source!A87)</f>
        <v>87</v>
      </c>
      <c r="B60">
        <v>44571514</v>
      </c>
      <c r="C60">
        <v>44571500</v>
      </c>
      <c r="D60">
        <v>13901897</v>
      </c>
      <c r="E60">
        <v>1</v>
      </c>
      <c r="F60">
        <v>1</v>
      </c>
      <c r="G60">
        <v>1</v>
      </c>
      <c r="H60">
        <v>2</v>
      </c>
      <c r="I60" t="s">
        <v>509</v>
      </c>
      <c r="J60" t="s">
        <v>510</v>
      </c>
      <c r="K60" t="s">
        <v>511</v>
      </c>
      <c r="L60">
        <v>1368</v>
      </c>
      <c r="N60">
        <v>1011</v>
      </c>
      <c r="O60" t="s">
        <v>453</v>
      </c>
      <c r="P60" t="s">
        <v>453</v>
      </c>
      <c r="Q60">
        <v>1</v>
      </c>
      <c r="X60">
        <v>3.41</v>
      </c>
      <c r="Y60">
        <v>0</v>
      </c>
      <c r="Z60">
        <v>2.7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22</v>
      </c>
      <c r="AG60">
        <v>4.705799999999999</v>
      </c>
      <c r="AH60">
        <v>2</v>
      </c>
      <c r="AI60">
        <v>44571504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ROW(Source!A87)</f>
        <v>87</v>
      </c>
      <c r="B61">
        <v>44571515</v>
      </c>
      <c r="C61">
        <v>44571500</v>
      </c>
      <c r="D61">
        <v>13901915</v>
      </c>
      <c r="E61">
        <v>1</v>
      </c>
      <c r="F61">
        <v>1</v>
      </c>
      <c r="G61">
        <v>1</v>
      </c>
      <c r="H61">
        <v>2</v>
      </c>
      <c r="I61" t="s">
        <v>512</v>
      </c>
      <c r="J61" t="s">
        <v>513</v>
      </c>
      <c r="K61" t="s">
        <v>514</v>
      </c>
      <c r="L61">
        <v>1368</v>
      </c>
      <c r="N61">
        <v>1011</v>
      </c>
      <c r="O61" t="s">
        <v>453</v>
      </c>
      <c r="P61" t="s">
        <v>453</v>
      </c>
      <c r="Q61">
        <v>1</v>
      </c>
      <c r="X61">
        <v>3.41</v>
      </c>
      <c r="Y61">
        <v>0</v>
      </c>
      <c r="Z61">
        <v>4.61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22</v>
      </c>
      <c r="AG61">
        <v>4.705799999999999</v>
      </c>
      <c r="AH61">
        <v>2</v>
      </c>
      <c r="AI61">
        <v>44571505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ROW(Source!A87)</f>
        <v>87</v>
      </c>
      <c r="B62">
        <v>44571516</v>
      </c>
      <c r="C62">
        <v>44571500</v>
      </c>
      <c r="D62">
        <v>13904227</v>
      </c>
      <c r="E62">
        <v>1</v>
      </c>
      <c r="F62">
        <v>1</v>
      </c>
      <c r="G62">
        <v>1</v>
      </c>
      <c r="H62">
        <v>2</v>
      </c>
      <c r="I62" t="s">
        <v>482</v>
      </c>
      <c r="J62" t="s">
        <v>483</v>
      </c>
      <c r="K62" t="s">
        <v>484</v>
      </c>
      <c r="L62">
        <v>1368</v>
      </c>
      <c r="N62">
        <v>1011</v>
      </c>
      <c r="O62" t="s">
        <v>453</v>
      </c>
      <c r="P62" t="s">
        <v>453</v>
      </c>
      <c r="Q62">
        <v>1</v>
      </c>
      <c r="X62">
        <v>0.2</v>
      </c>
      <c r="Y62">
        <v>0</v>
      </c>
      <c r="Z62">
        <v>80.75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22</v>
      </c>
      <c r="AG62">
        <v>0.27599999999999997</v>
      </c>
      <c r="AH62">
        <v>2</v>
      </c>
      <c r="AI62">
        <v>44571506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ROW(Source!A87)</f>
        <v>87</v>
      </c>
      <c r="B63">
        <v>44571517</v>
      </c>
      <c r="C63">
        <v>44571500</v>
      </c>
      <c r="D63">
        <v>13908341</v>
      </c>
      <c r="E63">
        <v>1</v>
      </c>
      <c r="F63">
        <v>1</v>
      </c>
      <c r="G63">
        <v>1</v>
      </c>
      <c r="H63">
        <v>3</v>
      </c>
      <c r="I63" t="s">
        <v>524</v>
      </c>
      <c r="J63" t="s">
        <v>525</v>
      </c>
      <c r="K63" t="s">
        <v>526</v>
      </c>
      <c r="L63">
        <v>1308</v>
      </c>
      <c r="N63">
        <v>1003</v>
      </c>
      <c r="O63" t="s">
        <v>527</v>
      </c>
      <c r="P63" t="s">
        <v>527</v>
      </c>
      <c r="Q63">
        <v>100</v>
      </c>
      <c r="X63">
        <v>0.0096</v>
      </c>
      <c r="Y63">
        <v>115.45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0.0096</v>
      </c>
      <c r="AH63">
        <v>2</v>
      </c>
      <c r="AI63">
        <v>44571507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ROW(Source!A87)</f>
        <v>87</v>
      </c>
      <c r="B64">
        <v>44571518</v>
      </c>
      <c r="C64">
        <v>44571500</v>
      </c>
      <c r="D64">
        <v>13930780</v>
      </c>
      <c r="E64">
        <v>1</v>
      </c>
      <c r="F64">
        <v>1</v>
      </c>
      <c r="G64">
        <v>1</v>
      </c>
      <c r="H64">
        <v>3</v>
      </c>
      <c r="I64" t="s">
        <v>528</v>
      </c>
      <c r="J64" t="s">
        <v>529</v>
      </c>
      <c r="K64" t="s">
        <v>530</v>
      </c>
      <c r="L64">
        <v>1348</v>
      </c>
      <c r="N64">
        <v>1009</v>
      </c>
      <c r="O64" t="s">
        <v>322</v>
      </c>
      <c r="P64" t="s">
        <v>322</v>
      </c>
      <c r="Q64">
        <v>1000</v>
      </c>
      <c r="X64">
        <v>6E-05</v>
      </c>
      <c r="Y64">
        <v>9345.32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6E-05</v>
      </c>
      <c r="AH64">
        <v>2</v>
      </c>
      <c r="AI64">
        <v>44571508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ROW(Source!A87)</f>
        <v>87</v>
      </c>
      <c r="B65">
        <v>44571519</v>
      </c>
      <c r="C65">
        <v>44571500</v>
      </c>
      <c r="D65">
        <v>13998519</v>
      </c>
      <c r="E65">
        <v>1</v>
      </c>
      <c r="F65">
        <v>1</v>
      </c>
      <c r="G65">
        <v>1</v>
      </c>
      <c r="H65">
        <v>3</v>
      </c>
      <c r="I65" t="s">
        <v>531</v>
      </c>
      <c r="J65" t="s">
        <v>532</v>
      </c>
      <c r="K65" t="s">
        <v>533</v>
      </c>
      <c r="L65">
        <v>1346</v>
      </c>
      <c r="N65">
        <v>1009</v>
      </c>
      <c r="O65" t="s">
        <v>222</v>
      </c>
      <c r="P65" t="s">
        <v>222</v>
      </c>
      <c r="Q65">
        <v>1</v>
      </c>
      <c r="X65">
        <v>0.5</v>
      </c>
      <c r="Y65">
        <v>65.74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0.5</v>
      </c>
      <c r="AH65">
        <v>2</v>
      </c>
      <c r="AI65">
        <v>44571509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ROW(Source!A87)</f>
        <v>87</v>
      </c>
      <c r="B66">
        <v>44571520</v>
      </c>
      <c r="C66">
        <v>44571500</v>
      </c>
      <c r="D66">
        <v>14105700</v>
      </c>
      <c r="E66">
        <v>1</v>
      </c>
      <c r="F66">
        <v>1</v>
      </c>
      <c r="G66">
        <v>1</v>
      </c>
      <c r="H66">
        <v>3</v>
      </c>
      <c r="I66" t="s">
        <v>502</v>
      </c>
      <c r="J66" t="s">
        <v>503</v>
      </c>
      <c r="K66" t="s">
        <v>504</v>
      </c>
      <c r="L66">
        <v>1374</v>
      </c>
      <c r="N66">
        <v>1013</v>
      </c>
      <c r="O66" t="s">
        <v>505</v>
      </c>
      <c r="P66" t="s">
        <v>505</v>
      </c>
      <c r="Q66">
        <v>1</v>
      </c>
      <c r="X66">
        <v>2.74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2.74</v>
      </c>
      <c r="AH66">
        <v>2</v>
      </c>
      <c r="AI66">
        <v>44571510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ROW(Source!A88)</f>
        <v>88</v>
      </c>
      <c r="B67">
        <v>44571533</v>
      </c>
      <c r="C67">
        <v>44571521</v>
      </c>
      <c r="D67">
        <v>9915120</v>
      </c>
      <c r="E67">
        <v>1</v>
      </c>
      <c r="F67">
        <v>1</v>
      </c>
      <c r="G67">
        <v>1</v>
      </c>
      <c r="H67">
        <v>1</v>
      </c>
      <c r="I67" t="s">
        <v>500</v>
      </c>
      <c r="K67" t="s">
        <v>501</v>
      </c>
      <c r="L67">
        <v>1191</v>
      </c>
      <c r="N67">
        <v>1013</v>
      </c>
      <c r="O67" t="s">
        <v>445</v>
      </c>
      <c r="P67" t="s">
        <v>445</v>
      </c>
      <c r="Q67">
        <v>1</v>
      </c>
      <c r="X67">
        <v>17.28</v>
      </c>
      <c r="Y67">
        <v>0</v>
      </c>
      <c r="Z67">
        <v>0</v>
      </c>
      <c r="AA67">
        <v>0</v>
      </c>
      <c r="AB67">
        <v>9.35</v>
      </c>
      <c r="AC67">
        <v>0</v>
      </c>
      <c r="AD67">
        <v>1</v>
      </c>
      <c r="AE67">
        <v>1</v>
      </c>
      <c r="AF67" t="s">
        <v>191</v>
      </c>
      <c r="AG67">
        <v>23.328000000000003</v>
      </c>
      <c r="AH67">
        <v>2</v>
      </c>
      <c r="AI67">
        <v>44571522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ROW(Source!A88)</f>
        <v>88</v>
      </c>
      <c r="B68">
        <v>44571534</v>
      </c>
      <c r="C68">
        <v>44571521</v>
      </c>
      <c r="D68">
        <v>121548</v>
      </c>
      <c r="E68">
        <v>1</v>
      </c>
      <c r="F68">
        <v>1</v>
      </c>
      <c r="G68">
        <v>1</v>
      </c>
      <c r="H68">
        <v>1</v>
      </c>
      <c r="I68" t="s">
        <v>28</v>
      </c>
      <c r="K68" t="s">
        <v>446</v>
      </c>
      <c r="L68">
        <v>608254</v>
      </c>
      <c r="N68">
        <v>1013</v>
      </c>
      <c r="O68" t="s">
        <v>447</v>
      </c>
      <c r="P68" t="s">
        <v>447</v>
      </c>
      <c r="Q68">
        <v>1</v>
      </c>
      <c r="X68">
        <v>0.2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191</v>
      </c>
      <c r="AG68">
        <v>0.27</v>
      </c>
      <c r="AH68">
        <v>2</v>
      </c>
      <c r="AI68">
        <v>44571523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ROW(Source!A88)</f>
        <v>88</v>
      </c>
      <c r="B69">
        <v>44571535</v>
      </c>
      <c r="C69">
        <v>44571521</v>
      </c>
      <c r="D69">
        <v>13901789</v>
      </c>
      <c r="E69">
        <v>1</v>
      </c>
      <c r="F69">
        <v>1</v>
      </c>
      <c r="G69">
        <v>1</v>
      </c>
      <c r="H69">
        <v>2</v>
      </c>
      <c r="I69" t="s">
        <v>506</v>
      </c>
      <c r="J69" t="s">
        <v>507</v>
      </c>
      <c r="K69" t="s">
        <v>508</v>
      </c>
      <c r="L69">
        <v>1368</v>
      </c>
      <c r="N69">
        <v>1011</v>
      </c>
      <c r="O69" t="s">
        <v>453</v>
      </c>
      <c r="P69" t="s">
        <v>453</v>
      </c>
      <c r="Q69">
        <v>1</v>
      </c>
      <c r="X69">
        <v>0.2</v>
      </c>
      <c r="Y69">
        <v>0</v>
      </c>
      <c r="Z69">
        <v>156.72</v>
      </c>
      <c r="AA69">
        <v>13.12</v>
      </c>
      <c r="AB69">
        <v>0</v>
      </c>
      <c r="AC69">
        <v>0</v>
      </c>
      <c r="AD69">
        <v>1</v>
      </c>
      <c r="AE69">
        <v>0</v>
      </c>
      <c r="AF69" t="s">
        <v>191</v>
      </c>
      <c r="AG69">
        <v>0.27</v>
      </c>
      <c r="AH69">
        <v>2</v>
      </c>
      <c r="AI69">
        <v>44571524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ROW(Source!A88)</f>
        <v>88</v>
      </c>
      <c r="B70">
        <v>44571536</v>
      </c>
      <c r="C70">
        <v>44571521</v>
      </c>
      <c r="D70">
        <v>13901897</v>
      </c>
      <c r="E70">
        <v>1</v>
      </c>
      <c r="F70">
        <v>1</v>
      </c>
      <c r="G70">
        <v>1</v>
      </c>
      <c r="H70">
        <v>2</v>
      </c>
      <c r="I70" t="s">
        <v>509</v>
      </c>
      <c r="J70" t="s">
        <v>510</v>
      </c>
      <c r="K70" t="s">
        <v>511</v>
      </c>
      <c r="L70">
        <v>1368</v>
      </c>
      <c r="N70">
        <v>1011</v>
      </c>
      <c r="O70" t="s">
        <v>453</v>
      </c>
      <c r="P70" t="s">
        <v>453</v>
      </c>
      <c r="Q70">
        <v>1</v>
      </c>
      <c r="X70">
        <v>4.06</v>
      </c>
      <c r="Y70">
        <v>0</v>
      </c>
      <c r="Z70">
        <v>2.7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191</v>
      </c>
      <c r="AG70">
        <v>5.481</v>
      </c>
      <c r="AH70">
        <v>2</v>
      </c>
      <c r="AI70">
        <v>44571525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ROW(Source!A88)</f>
        <v>88</v>
      </c>
      <c r="B71">
        <v>44571537</v>
      </c>
      <c r="C71">
        <v>44571521</v>
      </c>
      <c r="D71">
        <v>13901915</v>
      </c>
      <c r="E71">
        <v>1</v>
      </c>
      <c r="F71">
        <v>1</v>
      </c>
      <c r="G71">
        <v>1</v>
      </c>
      <c r="H71">
        <v>2</v>
      </c>
      <c r="I71" t="s">
        <v>512</v>
      </c>
      <c r="J71" t="s">
        <v>513</v>
      </c>
      <c r="K71" t="s">
        <v>514</v>
      </c>
      <c r="L71">
        <v>1368</v>
      </c>
      <c r="N71">
        <v>1011</v>
      </c>
      <c r="O71" t="s">
        <v>453</v>
      </c>
      <c r="P71" t="s">
        <v>453</v>
      </c>
      <c r="Q71">
        <v>1</v>
      </c>
      <c r="X71">
        <v>4.06</v>
      </c>
      <c r="Y71">
        <v>0</v>
      </c>
      <c r="Z71">
        <v>4.61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191</v>
      </c>
      <c r="AG71">
        <v>5.481</v>
      </c>
      <c r="AH71">
        <v>2</v>
      </c>
      <c r="AI71">
        <v>44571526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ROW(Source!A88)</f>
        <v>88</v>
      </c>
      <c r="B72">
        <v>44571538</v>
      </c>
      <c r="C72">
        <v>44571521</v>
      </c>
      <c r="D72">
        <v>13904227</v>
      </c>
      <c r="E72">
        <v>1</v>
      </c>
      <c r="F72">
        <v>1</v>
      </c>
      <c r="G72">
        <v>1</v>
      </c>
      <c r="H72">
        <v>2</v>
      </c>
      <c r="I72" t="s">
        <v>482</v>
      </c>
      <c r="J72" t="s">
        <v>483</v>
      </c>
      <c r="K72" t="s">
        <v>484</v>
      </c>
      <c r="L72">
        <v>1368</v>
      </c>
      <c r="N72">
        <v>1011</v>
      </c>
      <c r="O72" t="s">
        <v>453</v>
      </c>
      <c r="P72" t="s">
        <v>453</v>
      </c>
      <c r="Q72">
        <v>1</v>
      </c>
      <c r="X72">
        <v>0.2</v>
      </c>
      <c r="Y72">
        <v>0</v>
      </c>
      <c r="Z72">
        <v>80.75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191</v>
      </c>
      <c r="AG72">
        <v>0.27</v>
      </c>
      <c r="AH72">
        <v>2</v>
      </c>
      <c r="AI72">
        <v>44571527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ROW(Source!A88)</f>
        <v>88</v>
      </c>
      <c r="B73">
        <v>44571539</v>
      </c>
      <c r="C73">
        <v>44571521</v>
      </c>
      <c r="D73">
        <v>13907141</v>
      </c>
      <c r="E73">
        <v>1</v>
      </c>
      <c r="F73">
        <v>1</v>
      </c>
      <c r="G73">
        <v>1</v>
      </c>
      <c r="H73">
        <v>3</v>
      </c>
      <c r="I73" t="s">
        <v>534</v>
      </c>
      <c r="J73" t="s">
        <v>535</v>
      </c>
      <c r="K73" t="s">
        <v>536</v>
      </c>
      <c r="L73">
        <v>1348</v>
      </c>
      <c r="N73">
        <v>1009</v>
      </c>
      <c r="O73" t="s">
        <v>322</v>
      </c>
      <c r="P73" t="s">
        <v>322</v>
      </c>
      <c r="Q73">
        <v>1000</v>
      </c>
      <c r="X73">
        <v>0.00062</v>
      </c>
      <c r="Y73">
        <v>16039.96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0.00062</v>
      </c>
      <c r="AH73">
        <v>2</v>
      </c>
      <c r="AI73">
        <v>44571528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ROW(Source!A88)</f>
        <v>88</v>
      </c>
      <c r="B74">
        <v>44571540</v>
      </c>
      <c r="C74">
        <v>44571521</v>
      </c>
      <c r="D74">
        <v>13908341</v>
      </c>
      <c r="E74">
        <v>1</v>
      </c>
      <c r="F74">
        <v>1</v>
      </c>
      <c r="G74">
        <v>1</v>
      </c>
      <c r="H74">
        <v>3</v>
      </c>
      <c r="I74" t="s">
        <v>524</v>
      </c>
      <c r="J74" t="s">
        <v>525</v>
      </c>
      <c r="K74" t="s">
        <v>526</v>
      </c>
      <c r="L74">
        <v>1308</v>
      </c>
      <c r="N74">
        <v>1003</v>
      </c>
      <c r="O74" t="s">
        <v>527</v>
      </c>
      <c r="P74" t="s">
        <v>527</v>
      </c>
      <c r="Q74">
        <v>100</v>
      </c>
      <c r="X74">
        <v>0.0245</v>
      </c>
      <c r="Y74">
        <v>115.45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0.0245</v>
      </c>
      <c r="AH74">
        <v>2</v>
      </c>
      <c r="AI74">
        <v>44571529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ROW(Source!A88)</f>
        <v>88</v>
      </c>
      <c r="B75">
        <v>44571541</v>
      </c>
      <c r="C75">
        <v>44571521</v>
      </c>
      <c r="D75">
        <v>13930780</v>
      </c>
      <c r="E75">
        <v>1</v>
      </c>
      <c r="F75">
        <v>1</v>
      </c>
      <c r="G75">
        <v>1</v>
      </c>
      <c r="H75">
        <v>3</v>
      </c>
      <c r="I75" t="s">
        <v>528</v>
      </c>
      <c r="J75" t="s">
        <v>529</v>
      </c>
      <c r="K75" t="s">
        <v>530</v>
      </c>
      <c r="L75">
        <v>1348</v>
      </c>
      <c r="N75">
        <v>1009</v>
      </c>
      <c r="O75" t="s">
        <v>322</v>
      </c>
      <c r="P75" t="s">
        <v>322</v>
      </c>
      <c r="Q75">
        <v>1000</v>
      </c>
      <c r="X75">
        <v>0.00072</v>
      </c>
      <c r="Y75">
        <v>9345.32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0.00072</v>
      </c>
      <c r="AH75">
        <v>2</v>
      </c>
      <c r="AI75">
        <v>44571530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ROW(Source!A88)</f>
        <v>88</v>
      </c>
      <c r="B76">
        <v>44571542</v>
      </c>
      <c r="C76">
        <v>44571521</v>
      </c>
      <c r="D76">
        <v>13998519</v>
      </c>
      <c r="E76">
        <v>1</v>
      </c>
      <c r="F76">
        <v>1</v>
      </c>
      <c r="G76">
        <v>1</v>
      </c>
      <c r="H76">
        <v>3</v>
      </c>
      <c r="I76" t="s">
        <v>531</v>
      </c>
      <c r="J76" t="s">
        <v>532</v>
      </c>
      <c r="K76" t="s">
        <v>533</v>
      </c>
      <c r="L76">
        <v>1346</v>
      </c>
      <c r="N76">
        <v>1009</v>
      </c>
      <c r="O76" t="s">
        <v>222</v>
      </c>
      <c r="P76" t="s">
        <v>222</v>
      </c>
      <c r="Q76">
        <v>1</v>
      </c>
      <c r="X76">
        <v>0.25</v>
      </c>
      <c r="Y76">
        <v>65.74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0.25</v>
      </c>
      <c r="AH76">
        <v>2</v>
      </c>
      <c r="AI76">
        <v>44571531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ROW(Source!A88)</f>
        <v>88</v>
      </c>
      <c r="B77">
        <v>44571543</v>
      </c>
      <c r="C77">
        <v>44571521</v>
      </c>
      <c r="D77">
        <v>14105700</v>
      </c>
      <c r="E77">
        <v>1</v>
      </c>
      <c r="F77">
        <v>1</v>
      </c>
      <c r="G77">
        <v>1</v>
      </c>
      <c r="H77">
        <v>3</v>
      </c>
      <c r="I77" t="s">
        <v>502</v>
      </c>
      <c r="J77" t="s">
        <v>503</v>
      </c>
      <c r="K77" t="s">
        <v>504</v>
      </c>
      <c r="L77">
        <v>1374</v>
      </c>
      <c r="N77">
        <v>1013</v>
      </c>
      <c r="O77" t="s">
        <v>505</v>
      </c>
      <c r="P77" t="s">
        <v>505</v>
      </c>
      <c r="Q77">
        <v>1</v>
      </c>
      <c r="X77">
        <v>3.23</v>
      </c>
      <c r="Y77">
        <v>1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3.23</v>
      </c>
      <c r="AH77">
        <v>2</v>
      </c>
      <c r="AI77">
        <v>44571532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ROW(Source!A89)</f>
        <v>89</v>
      </c>
      <c r="B78">
        <v>44571555</v>
      </c>
      <c r="C78">
        <v>44571544</v>
      </c>
      <c r="D78">
        <v>9915120</v>
      </c>
      <c r="E78">
        <v>1</v>
      </c>
      <c r="F78">
        <v>1</v>
      </c>
      <c r="G78">
        <v>1</v>
      </c>
      <c r="H78">
        <v>1</v>
      </c>
      <c r="I78" t="s">
        <v>500</v>
      </c>
      <c r="K78" t="s">
        <v>501</v>
      </c>
      <c r="L78">
        <v>1191</v>
      </c>
      <c r="N78">
        <v>1013</v>
      </c>
      <c r="O78" t="s">
        <v>445</v>
      </c>
      <c r="P78" t="s">
        <v>445</v>
      </c>
      <c r="Q78">
        <v>1</v>
      </c>
      <c r="X78">
        <v>6.63</v>
      </c>
      <c r="Y78">
        <v>0</v>
      </c>
      <c r="Z78">
        <v>0</v>
      </c>
      <c r="AA78">
        <v>0</v>
      </c>
      <c r="AB78">
        <v>9.35</v>
      </c>
      <c r="AC78">
        <v>0</v>
      </c>
      <c r="AD78">
        <v>1</v>
      </c>
      <c r="AE78">
        <v>1</v>
      </c>
      <c r="AF78" t="s">
        <v>191</v>
      </c>
      <c r="AG78">
        <v>8.9505</v>
      </c>
      <c r="AH78">
        <v>2</v>
      </c>
      <c r="AI78">
        <v>44571545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ROW(Source!A89)</f>
        <v>89</v>
      </c>
      <c r="B79">
        <v>44571556</v>
      </c>
      <c r="C79">
        <v>44571544</v>
      </c>
      <c r="D79">
        <v>121548</v>
      </c>
      <c r="E79">
        <v>1</v>
      </c>
      <c r="F79">
        <v>1</v>
      </c>
      <c r="G79">
        <v>1</v>
      </c>
      <c r="H79">
        <v>1</v>
      </c>
      <c r="I79" t="s">
        <v>28</v>
      </c>
      <c r="K79" t="s">
        <v>446</v>
      </c>
      <c r="L79">
        <v>608254</v>
      </c>
      <c r="N79">
        <v>1013</v>
      </c>
      <c r="O79" t="s">
        <v>447</v>
      </c>
      <c r="P79" t="s">
        <v>447</v>
      </c>
      <c r="Q79">
        <v>1</v>
      </c>
      <c r="X79">
        <v>0.2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2</v>
      </c>
      <c r="AF79" t="s">
        <v>191</v>
      </c>
      <c r="AG79">
        <v>0.27</v>
      </c>
      <c r="AH79">
        <v>2</v>
      </c>
      <c r="AI79">
        <v>44571546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ROW(Source!A89)</f>
        <v>89</v>
      </c>
      <c r="B80">
        <v>44571557</v>
      </c>
      <c r="C80">
        <v>44571544</v>
      </c>
      <c r="D80">
        <v>13901789</v>
      </c>
      <c r="E80">
        <v>1</v>
      </c>
      <c r="F80">
        <v>1</v>
      </c>
      <c r="G80">
        <v>1</v>
      </c>
      <c r="H80">
        <v>2</v>
      </c>
      <c r="I80" t="s">
        <v>506</v>
      </c>
      <c r="J80" t="s">
        <v>507</v>
      </c>
      <c r="K80" t="s">
        <v>508</v>
      </c>
      <c r="L80">
        <v>1368</v>
      </c>
      <c r="N80">
        <v>1011</v>
      </c>
      <c r="O80" t="s">
        <v>453</v>
      </c>
      <c r="P80" t="s">
        <v>453</v>
      </c>
      <c r="Q80">
        <v>1</v>
      </c>
      <c r="X80">
        <v>0.2</v>
      </c>
      <c r="Y80">
        <v>0</v>
      </c>
      <c r="Z80">
        <v>156.72</v>
      </c>
      <c r="AA80">
        <v>13.12</v>
      </c>
      <c r="AB80">
        <v>0</v>
      </c>
      <c r="AC80">
        <v>0</v>
      </c>
      <c r="AD80">
        <v>1</v>
      </c>
      <c r="AE80">
        <v>0</v>
      </c>
      <c r="AF80" t="s">
        <v>191</v>
      </c>
      <c r="AG80">
        <v>0.27</v>
      </c>
      <c r="AH80">
        <v>2</v>
      </c>
      <c r="AI80">
        <v>44571547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ROW(Source!A89)</f>
        <v>89</v>
      </c>
      <c r="B81">
        <v>44571558</v>
      </c>
      <c r="C81">
        <v>44571544</v>
      </c>
      <c r="D81">
        <v>13901897</v>
      </c>
      <c r="E81">
        <v>1</v>
      </c>
      <c r="F81">
        <v>1</v>
      </c>
      <c r="G81">
        <v>1</v>
      </c>
      <c r="H81">
        <v>2</v>
      </c>
      <c r="I81" t="s">
        <v>509</v>
      </c>
      <c r="J81" t="s">
        <v>510</v>
      </c>
      <c r="K81" t="s">
        <v>511</v>
      </c>
      <c r="L81">
        <v>1368</v>
      </c>
      <c r="N81">
        <v>1011</v>
      </c>
      <c r="O81" t="s">
        <v>453</v>
      </c>
      <c r="P81" t="s">
        <v>453</v>
      </c>
      <c r="Q81">
        <v>1</v>
      </c>
      <c r="X81">
        <v>1.51</v>
      </c>
      <c r="Y81">
        <v>0</v>
      </c>
      <c r="Z81">
        <v>2.7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191</v>
      </c>
      <c r="AG81">
        <v>2.0385</v>
      </c>
      <c r="AH81">
        <v>2</v>
      </c>
      <c r="AI81">
        <v>44571548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ROW(Source!A89)</f>
        <v>89</v>
      </c>
      <c r="B82">
        <v>44571559</v>
      </c>
      <c r="C82">
        <v>44571544</v>
      </c>
      <c r="D82">
        <v>13901915</v>
      </c>
      <c r="E82">
        <v>1</v>
      </c>
      <c r="F82">
        <v>1</v>
      </c>
      <c r="G82">
        <v>1</v>
      </c>
      <c r="H82">
        <v>2</v>
      </c>
      <c r="I82" t="s">
        <v>512</v>
      </c>
      <c r="J82" t="s">
        <v>513</v>
      </c>
      <c r="K82" t="s">
        <v>514</v>
      </c>
      <c r="L82">
        <v>1368</v>
      </c>
      <c r="N82">
        <v>1011</v>
      </c>
      <c r="O82" t="s">
        <v>453</v>
      </c>
      <c r="P82" t="s">
        <v>453</v>
      </c>
      <c r="Q82">
        <v>1</v>
      </c>
      <c r="X82">
        <v>1.51</v>
      </c>
      <c r="Y82">
        <v>0</v>
      </c>
      <c r="Z82">
        <v>4.61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191</v>
      </c>
      <c r="AG82">
        <v>2.0385</v>
      </c>
      <c r="AH82">
        <v>2</v>
      </c>
      <c r="AI82">
        <v>44571549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ROW(Source!A89)</f>
        <v>89</v>
      </c>
      <c r="B83">
        <v>44571560</v>
      </c>
      <c r="C83">
        <v>44571544</v>
      </c>
      <c r="D83">
        <v>13904227</v>
      </c>
      <c r="E83">
        <v>1</v>
      </c>
      <c r="F83">
        <v>1</v>
      </c>
      <c r="G83">
        <v>1</v>
      </c>
      <c r="H83">
        <v>2</v>
      </c>
      <c r="I83" t="s">
        <v>482</v>
      </c>
      <c r="J83" t="s">
        <v>483</v>
      </c>
      <c r="K83" t="s">
        <v>484</v>
      </c>
      <c r="L83">
        <v>1368</v>
      </c>
      <c r="N83">
        <v>1011</v>
      </c>
      <c r="O83" t="s">
        <v>453</v>
      </c>
      <c r="P83" t="s">
        <v>453</v>
      </c>
      <c r="Q83">
        <v>1</v>
      </c>
      <c r="X83">
        <v>0.2</v>
      </c>
      <c r="Y83">
        <v>0</v>
      </c>
      <c r="Z83">
        <v>80.75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191</v>
      </c>
      <c r="AG83">
        <v>0.27</v>
      </c>
      <c r="AH83">
        <v>2</v>
      </c>
      <c r="AI83">
        <v>44571550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ROW(Source!A89)</f>
        <v>89</v>
      </c>
      <c r="B84">
        <v>44571561</v>
      </c>
      <c r="C84">
        <v>44571544</v>
      </c>
      <c r="D84">
        <v>13908341</v>
      </c>
      <c r="E84">
        <v>1</v>
      </c>
      <c r="F84">
        <v>1</v>
      </c>
      <c r="G84">
        <v>1</v>
      </c>
      <c r="H84">
        <v>3</v>
      </c>
      <c r="I84" t="s">
        <v>524</v>
      </c>
      <c r="J84" t="s">
        <v>525</v>
      </c>
      <c r="K84" t="s">
        <v>526</v>
      </c>
      <c r="L84">
        <v>1308</v>
      </c>
      <c r="N84">
        <v>1003</v>
      </c>
      <c r="O84" t="s">
        <v>527</v>
      </c>
      <c r="P84" t="s">
        <v>527</v>
      </c>
      <c r="Q84">
        <v>100</v>
      </c>
      <c r="X84">
        <v>0.096</v>
      </c>
      <c r="Y84">
        <v>115.45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0.096</v>
      </c>
      <c r="AH84">
        <v>2</v>
      </c>
      <c r="AI84">
        <v>44571551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ROW(Source!A89)</f>
        <v>89</v>
      </c>
      <c r="B85">
        <v>44571562</v>
      </c>
      <c r="C85">
        <v>44571544</v>
      </c>
      <c r="D85">
        <v>13930780</v>
      </c>
      <c r="E85">
        <v>1</v>
      </c>
      <c r="F85">
        <v>1</v>
      </c>
      <c r="G85">
        <v>1</v>
      </c>
      <c r="H85">
        <v>3</v>
      </c>
      <c r="I85" t="s">
        <v>528</v>
      </c>
      <c r="J85" t="s">
        <v>529</v>
      </c>
      <c r="K85" t="s">
        <v>530</v>
      </c>
      <c r="L85">
        <v>1348</v>
      </c>
      <c r="N85">
        <v>1009</v>
      </c>
      <c r="O85" t="s">
        <v>322</v>
      </c>
      <c r="P85" t="s">
        <v>322</v>
      </c>
      <c r="Q85">
        <v>1000</v>
      </c>
      <c r="X85">
        <v>6E-05</v>
      </c>
      <c r="Y85">
        <v>9345.32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6E-05</v>
      </c>
      <c r="AH85">
        <v>2</v>
      </c>
      <c r="AI85">
        <v>44571552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ROW(Source!A89)</f>
        <v>89</v>
      </c>
      <c r="B86">
        <v>44571563</v>
      </c>
      <c r="C86">
        <v>44571544</v>
      </c>
      <c r="D86">
        <v>13998519</v>
      </c>
      <c r="E86">
        <v>1</v>
      </c>
      <c r="F86">
        <v>1</v>
      </c>
      <c r="G86">
        <v>1</v>
      </c>
      <c r="H86">
        <v>3</v>
      </c>
      <c r="I86" t="s">
        <v>531</v>
      </c>
      <c r="J86" t="s">
        <v>532</v>
      </c>
      <c r="K86" t="s">
        <v>533</v>
      </c>
      <c r="L86">
        <v>1346</v>
      </c>
      <c r="N86">
        <v>1009</v>
      </c>
      <c r="O86" t="s">
        <v>222</v>
      </c>
      <c r="P86" t="s">
        <v>222</v>
      </c>
      <c r="Q86">
        <v>1</v>
      </c>
      <c r="X86">
        <v>0.5</v>
      </c>
      <c r="Y86">
        <v>65.74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0.5</v>
      </c>
      <c r="AH86">
        <v>2</v>
      </c>
      <c r="AI86">
        <v>44571553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ROW(Source!A89)</f>
        <v>89</v>
      </c>
      <c r="B87">
        <v>44571564</v>
      </c>
      <c r="C87">
        <v>44571544</v>
      </c>
      <c r="D87">
        <v>14105700</v>
      </c>
      <c r="E87">
        <v>1</v>
      </c>
      <c r="F87">
        <v>1</v>
      </c>
      <c r="G87">
        <v>1</v>
      </c>
      <c r="H87">
        <v>3</v>
      </c>
      <c r="I87" t="s">
        <v>502</v>
      </c>
      <c r="J87" t="s">
        <v>503</v>
      </c>
      <c r="K87" t="s">
        <v>504</v>
      </c>
      <c r="L87">
        <v>1374</v>
      </c>
      <c r="N87">
        <v>1013</v>
      </c>
      <c r="O87" t="s">
        <v>505</v>
      </c>
      <c r="P87" t="s">
        <v>505</v>
      </c>
      <c r="Q87">
        <v>1</v>
      </c>
      <c r="X87">
        <v>1.24</v>
      </c>
      <c r="Y87">
        <v>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1.24</v>
      </c>
      <c r="AH87">
        <v>2</v>
      </c>
      <c r="AI87">
        <v>44571554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ROW(Source!A90)</f>
        <v>90</v>
      </c>
      <c r="B88">
        <v>44571569</v>
      </c>
      <c r="C88">
        <v>44571565</v>
      </c>
      <c r="D88">
        <v>9915120</v>
      </c>
      <c r="E88">
        <v>1</v>
      </c>
      <c r="F88">
        <v>1</v>
      </c>
      <c r="G88">
        <v>1</v>
      </c>
      <c r="H88">
        <v>1</v>
      </c>
      <c r="I88" t="s">
        <v>500</v>
      </c>
      <c r="K88" t="s">
        <v>501</v>
      </c>
      <c r="L88">
        <v>1191</v>
      </c>
      <c r="N88">
        <v>1013</v>
      </c>
      <c r="O88" t="s">
        <v>445</v>
      </c>
      <c r="P88" t="s">
        <v>445</v>
      </c>
      <c r="Q88">
        <v>1</v>
      </c>
      <c r="X88">
        <v>1.26</v>
      </c>
      <c r="Y88">
        <v>0</v>
      </c>
      <c r="Z88">
        <v>0</v>
      </c>
      <c r="AA88">
        <v>0</v>
      </c>
      <c r="AB88">
        <v>9.35</v>
      </c>
      <c r="AC88">
        <v>0</v>
      </c>
      <c r="AD88">
        <v>1</v>
      </c>
      <c r="AE88">
        <v>1</v>
      </c>
      <c r="AF88" t="s">
        <v>191</v>
      </c>
      <c r="AG88">
        <v>1.701</v>
      </c>
      <c r="AH88">
        <v>2</v>
      </c>
      <c r="AI88">
        <v>44571566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ROW(Source!A90)</f>
        <v>90</v>
      </c>
      <c r="B89">
        <v>44571570</v>
      </c>
      <c r="C89">
        <v>44571565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28</v>
      </c>
      <c r="K89" t="s">
        <v>446</v>
      </c>
      <c r="L89">
        <v>608254</v>
      </c>
      <c r="N89">
        <v>1013</v>
      </c>
      <c r="O89" t="s">
        <v>447</v>
      </c>
      <c r="P89" t="s">
        <v>447</v>
      </c>
      <c r="Q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2</v>
      </c>
      <c r="AF89" t="s">
        <v>191</v>
      </c>
      <c r="AG89">
        <v>0</v>
      </c>
      <c r="AH89">
        <v>2</v>
      </c>
      <c r="AI89">
        <v>44571567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ROW(Source!A90)</f>
        <v>90</v>
      </c>
      <c r="B90">
        <v>44571571</v>
      </c>
      <c r="C90">
        <v>44571565</v>
      </c>
      <c r="D90">
        <v>14105700</v>
      </c>
      <c r="E90">
        <v>1</v>
      </c>
      <c r="F90">
        <v>1</v>
      </c>
      <c r="G90">
        <v>1</v>
      </c>
      <c r="H90">
        <v>3</v>
      </c>
      <c r="I90" t="s">
        <v>502</v>
      </c>
      <c r="J90" t="s">
        <v>503</v>
      </c>
      <c r="K90" t="s">
        <v>504</v>
      </c>
      <c r="L90">
        <v>1374</v>
      </c>
      <c r="N90">
        <v>1013</v>
      </c>
      <c r="O90" t="s">
        <v>505</v>
      </c>
      <c r="P90" t="s">
        <v>505</v>
      </c>
      <c r="Q90">
        <v>1</v>
      </c>
      <c r="X90">
        <v>0.24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0.24</v>
      </c>
      <c r="AH90">
        <v>2</v>
      </c>
      <c r="AI90">
        <v>44571568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ROW(Source!A91)</f>
        <v>91</v>
      </c>
      <c r="B91">
        <v>44578931</v>
      </c>
      <c r="C91">
        <v>44571572</v>
      </c>
      <c r="D91">
        <v>9915120</v>
      </c>
      <c r="E91">
        <v>1</v>
      </c>
      <c r="F91">
        <v>1</v>
      </c>
      <c r="G91">
        <v>1</v>
      </c>
      <c r="H91">
        <v>1</v>
      </c>
      <c r="I91" t="s">
        <v>500</v>
      </c>
      <c r="K91" t="s">
        <v>501</v>
      </c>
      <c r="L91">
        <v>1191</v>
      </c>
      <c r="N91">
        <v>1013</v>
      </c>
      <c r="O91" t="s">
        <v>445</v>
      </c>
      <c r="P91" t="s">
        <v>445</v>
      </c>
      <c r="Q91">
        <v>1</v>
      </c>
      <c r="X91">
        <v>4.52</v>
      </c>
      <c r="Y91">
        <v>0</v>
      </c>
      <c r="Z91">
        <v>0</v>
      </c>
      <c r="AA91">
        <v>0</v>
      </c>
      <c r="AB91">
        <v>9.35</v>
      </c>
      <c r="AC91">
        <v>0</v>
      </c>
      <c r="AD91">
        <v>1</v>
      </c>
      <c r="AE91">
        <v>1</v>
      </c>
      <c r="AF91" t="s">
        <v>191</v>
      </c>
      <c r="AG91">
        <v>6.101999999999999</v>
      </c>
      <c r="AH91">
        <v>2</v>
      </c>
      <c r="AI91">
        <v>44578931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ROW(Source!A91)</f>
        <v>91</v>
      </c>
      <c r="B92">
        <v>44578932</v>
      </c>
      <c r="C92">
        <v>44571572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28</v>
      </c>
      <c r="K92" t="s">
        <v>446</v>
      </c>
      <c r="L92">
        <v>608254</v>
      </c>
      <c r="N92">
        <v>1013</v>
      </c>
      <c r="O92" t="s">
        <v>447</v>
      </c>
      <c r="P92" t="s">
        <v>447</v>
      </c>
      <c r="Q92">
        <v>1</v>
      </c>
      <c r="X92">
        <v>3.43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191</v>
      </c>
      <c r="AG92">
        <v>4.6305000000000005</v>
      </c>
      <c r="AH92">
        <v>2</v>
      </c>
      <c r="AI92">
        <v>44578932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ROW(Source!A91)</f>
        <v>91</v>
      </c>
      <c r="B93">
        <v>44578933</v>
      </c>
      <c r="C93">
        <v>44571572</v>
      </c>
      <c r="D93">
        <v>13901975</v>
      </c>
      <c r="E93">
        <v>1</v>
      </c>
      <c r="F93">
        <v>1</v>
      </c>
      <c r="G93">
        <v>1</v>
      </c>
      <c r="H93">
        <v>2</v>
      </c>
      <c r="I93" t="s">
        <v>537</v>
      </c>
      <c r="J93" t="s">
        <v>538</v>
      </c>
      <c r="K93" t="s">
        <v>539</v>
      </c>
      <c r="L93">
        <v>1368</v>
      </c>
      <c r="N93">
        <v>1011</v>
      </c>
      <c r="O93" t="s">
        <v>453</v>
      </c>
      <c r="P93" t="s">
        <v>453</v>
      </c>
      <c r="Q93">
        <v>1</v>
      </c>
      <c r="X93">
        <v>3.43</v>
      </c>
      <c r="Y93">
        <v>0</v>
      </c>
      <c r="Z93">
        <v>175.21</v>
      </c>
      <c r="AA93">
        <v>13.12</v>
      </c>
      <c r="AB93">
        <v>0</v>
      </c>
      <c r="AC93">
        <v>0</v>
      </c>
      <c r="AD93">
        <v>1</v>
      </c>
      <c r="AE93">
        <v>0</v>
      </c>
      <c r="AF93" t="s">
        <v>191</v>
      </c>
      <c r="AG93">
        <v>4.6305000000000005</v>
      </c>
      <c r="AH93">
        <v>2</v>
      </c>
      <c r="AI93">
        <v>44578933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ROW(Source!A91)</f>
        <v>91</v>
      </c>
      <c r="B94">
        <v>44578934</v>
      </c>
      <c r="C94">
        <v>44571572</v>
      </c>
      <c r="D94">
        <v>13905164</v>
      </c>
      <c r="E94">
        <v>1</v>
      </c>
      <c r="F94">
        <v>1</v>
      </c>
      <c r="G94">
        <v>1</v>
      </c>
      <c r="H94">
        <v>3</v>
      </c>
      <c r="I94" t="s">
        <v>540</v>
      </c>
      <c r="J94" t="s">
        <v>541</v>
      </c>
      <c r="K94" t="s">
        <v>542</v>
      </c>
      <c r="L94">
        <v>1348</v>
      </c>
      <c r="N94">
        <v>1009</v>
      </c>
      <c r="O94" t="s">
        <v>322</v>
      </c>
      <c r="P94" t="s">
        <v>322</v>
      </c>
      <c r="Q94">
        <v>1000</v>
      </c>
      <c r="X94">
        <v>0.0004</v>
      </c>
      <c r="Y94">
        <v>5976.4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0.0004</v>
      </c>
      <c r="AH94">
        <v>2</v>
      </c>
      <c r="AI94">
        <v>44578934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ROW(Source!A91)</f>
        <v>91</v>
      </c>
      <c r="B95">
        <v>44578935</v>
      </c>
      <c r="C95">
        <v>44571572</v>
      </c>
      <c r="D95">
        <v>13908341</v>
      </c>
      <c r="E95">
        <v>1</v>
      </c>
      <c r="F95">
        <v>1</v>
      </c>
      <c r="G95">
        <v>1</v>
      </c>
      <c r="H95">
        <v>3</v>
      </c>
      <c r="I95" t="s">
        <v>524</v>
      </c>
      <c r="J95" t="s">
        <v>525</v>
      </c>
      <c r="K95" t="s">
        <v>526</v>
      </c>
      <c r="L95">
        <v>1308</v>
      </c>
      <c r="N95">
        <v>1003</v>
      </c>
      <c r="O95" t="s">
        <v>527</v>
      </c>
      <c r="P95" t="s">
        <v>527</v>
      </c>
      <c r="Q95">
        <v>100</v>
      </c>
      <c r="X95">
        <v>0.0024</v>
      </c>
      <c r="Y95">
        <v>115.45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0.0024</v>
      </c>
      <c r="AH95">
        <v>2</v>
      </c>
      <c r="AI95">
        <v>44578935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ROW(Source!A91)</f>
        <v>91</v>
      </c>
      <c r="B96">
        <v>44578936</v>
      </c>
      <c r="C96">
        <v>44571572</v>
      </c>
      <c r="D96">
        <v>14010598</v>
      </c>
      <c r="E96">
        <v>1</v>
      </c>
      <c r="F96">
        <v>1</v>
      </c>
      <c r="G96">
        <v>1</v>
      </c>
      <c r="H96">
        <v>3</v>
      </c>
      <c r="I96" t="s">
        <v>543</v>
      </c>
      <c r="J96" t="s">
        <v>544</v>
      </c>
      <c r="K96" t="s">
        <v>545</v>
      </c>
      <c r="L96">
        <v>1348</v>
      </c>
      <c r="N96">
        <v>1009</v>
      </c>
      <c r="O96" t="s">
        <v>322</v>
      </c>
      <c r="P96" t="s">
        <v>322</v>
      </c>
      <c r="Q96">
        <v>1000</v>
      </c>
      <c r="X96">
        <v>1E-05</v>
      </c>
      <c r="Y96">
        <v>9678.22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1E-05</v>
      </c>
      <c r="AH96">
        <v>2</v>
      </c>
      <c r="AI96">
        <v>44578936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ROW(Source!A91)</f>
        <v>91</v>
      </c>
      <c r="B97">
        <v>44578937</v>
      </c>
      <c r="C97">
        <v>44571572</v>
      </c>
      <c r="D97">
        <v>14105700</v>
      </c>
      <c r="E97">
        <v>1</v>
      </c>
      <c r="F97">
        <v>1</v>
      </c>
      <c r="G97">
        <v>1</v>
      </c>
      <c r="H97">
        <v>3</v>
      </c>
      <c r="I97" t="s">
        <v>502</v>
      </c>
      <c r="J97" t="s">
        <v>503</v>
      </c>
      <c r="K97" t="s">
        <v>504</v>
      </c>
      <c r="L97">
        <v>1374</v>
      </c>
      <c r="N97">
        <v>1013</v>
      </c>
      <c r="O97" t="s">
        <v>505</v>
      </c>
      <c r="P97" t="s">
        <v>505</v>
      </c>
      <c r="Q97">
        <v>1</v>
      </c>
      <c r="X97">
        <v>0.85</v>
      </c>
      <c r="Y97">
        <v>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0.85</v>
      </c>
      <c r="AH97">
        <v>2</v>
      </c>
      <c r="AI97">
        <v>44578937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ROW(Source!A92)</f>
        <v>92</v>
      </c>
      <c r="B98">
        <v>44571591</v>
      </c>
      <c r="C98">
        <v>44571587</v>
      </c>
      <c r="D98">
        <v>9915120</v>
      </c>
      <c r="E98">
        <v>1</v>
      </c>
      <c r="F98">
        <v>1</v>
      </c>
      <c r="G98">
        <v>1</v>
      </c>
      <c r="H98">
        <v>1</v>
      </c>
      <c r="I98" t="s">
        <v>500</v>
      </c>
      <c r="K98" t="s">
        <v>501</v>
      </c>
      <c r="L98">
        <v>1191</v>
      </c>
      <c r="N98">
        <v>1013</v>
      </c>
      <c r="O98" t="s">
        <v>445</v>
      </c>
      <c r="P98" t="s">
        <v>445</v>
      </c>
      <c r="Q98">
        <v>1</v>
      </c>
      <c r="X98">
        <v>15.12</v>
      </c>
      <c r="Y98">
        <v>0</v>
      </c>
      <c r="Z98">
        <v>0</v>
      </c>
      <c r="AA98">
        <v>0</v>
      </c>
      <c r="AB98">
        <v>9.35</v>
      </c>
      <c r="AC98">
        <v>0</v>
      </c>
      <c r="AD98">
        <v>1</v>
      </c>
      <c r="AE98">
        <v>1</v>
      </c>
      <c r="AF98" t="s">
        <v>191</v>
      </c>
      <c r="AG98">
        <v>20.412</v>
      </c>
      <c r="AH98">
        <v>2</v>
      </c>
      <c r="AI98">
        <v>44571588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ROW(Source!A92)</f>
        <v>92</v>
      </c>
      <c r="B99">
        <v>44571592</v>
      </c>
      <c r="C99">
        <v>44571587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28</v>
      </c>
      <c r="K99" t="s">
        <v>446</v>
      </c>
      <c r="L99">
        <v>608254</v>
      </c>
      <c r="N99">
        <v>1013</v>
      </c>
      <c r="O99" t="s">
        <v>447</v>
      </c>
      <c r="P99" t="s">
        <v>447</v>
      </c>
      <c r="Q99">
        <v>1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191</v>
      </c>
      <c r="AG99">
        <v>0</v>
      </c>
      <c r="AH99">
        <v>2</v>
      </c>
      <c r="AI99">
        <v>44571589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ROW(Source!A92)</f>
        <v>92</v>
      </c>
      <c r="B100">
        <v>44571593</v>
      </c>
      <c r="C100">
        <v>44571587</v>
      </c>
      <c r="D100">
        <v>14105700</v>
      </c>
      <c r="E100">
        <v>1</v>
      </c>
      <c r="F100">
        <v>1</v>
      </c>
      <c r="G100">
        <v>1</v>
      </c>
      <c r="H100">
        <v>3</v>
      </c>
      <c r="I100" t="s">
        <v>502</v>
      </c>
      <c r="J100" t="s">
        <v>503</v>
      </c>
      <c r="K100" t="s">
        <v>504</v>
      </c>
      <c r="L100">
        <v>1374</v>
      </c>
      <c r="N100">
        <v>1013</v>
      </c>
      <c r="O100" t="s">
        <v>505</v>
      </c>
      <c r="P100" t="s">
        <v>505</v>
      </c>
      <c r="Q100">
        <v>1</v>
      </c>
      <c r="X100">
        <v>2.83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2.83</v>
      </c>
      <c r="AH100">
        <v>2</v>
      </c>
      <c r="AI100">
        <v>44571590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ROW(Source!A93)</f>
        <v>93</v>
      </c>
      <c r="B101">
        <v>44579107</v>
      </c>
      <c r="C101">
        <v>44571594</v>
      </c>
      <c r="D101">
        <v>9915120</v>
      </c>
      <c r="E101">
        <v>1</v>
      </c>
      <c r="F101">
        <v>1</v>
      </c>
      <c r="G101">
        <v>1</v>
      </c>
      <c r="H101">
        <v>1</v>
      </c>
      <c r="I101" t="s">
        <v>500</v>
      </c>
      <c r="K101" t="s">
        <v>501</v>
      </c>
      <c r="L101">
        <v>1191</v>
      </c>
      <c r="N101">
        <v>1013</v>
      </c>
      <c r="O101" t="s">
        <v>445</v>
      </c>
      <c r="P101" t="s">
        <v>445</v>
      </c>
      <c r="Q101">
        <v>1</v>
      </c>
      <c r="X101">
        <v>8.32</v>
      </c>
      <c r="Y101">
        <v>0</v>
      </c>
      <c r="Z101">
        <v>0</v>
      </c>
      <c r="AA101">
        <v>0</v>
      </c>
      <c r="AB101">
        <v>9.35</v>
      </c>
      <c r="AC101">
        <v>0</v>
      </c>
      <c r="AD101">
        <v>1</v>
      </c>
      <c r="AE101">
        <v>1</v>
      </c>
      <c r="AF101" t="s">
        <v>86</v>
      </c>
      <c r="AG101">
        <v>11.481599999999998</v>
      </c>
      <c r="AH101">
        <v>2</v>
      </c>
      <c r="AI101">
        <v>44579107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ROW(Source!A93)</f>
        <v>93</v>
      </c>
      <c r="B102">
        <v>44579108</v>
      </c>
      <c r="C102">
        <v>44571594</v>
      </c>
      <c r="D102">
        <v>121548</v>
      </c>
      <c r="E102">
        <v>1</v>
      </c>
      <c r="F102">
        <v>1</v>
      </c>
      <c r="G102">
        <v>1</v>
      </c>
      <c r="H102">
        <v>1</v>
      </c>
      <c r="I102" t="s">
        <v>28</v>
      </c>
      <c r="K102" t="s">
        <v>446</v>
      </c>
      <c r="L102">
        <v>608254</v>
      </c>
      <c r="N102">
        <v>1013</v>
      </c>
      <c r="O102" t="s">
        <v>447</v>
      </c>
      <c r="P102" t="s">
        <v>447</v>
      </c>
      <c r="Q102">
        <v>1</v>
      </c>
      <c r="X102">
        <v>0.03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86</v>
      </c>
      <c r="AG102">
        <v>0.04139999999999999</v>
      </c>
      <c r="AH102">
        <v>2</v>
      </c>
      <c r="AI102">
        <v>44579108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ROW(Source!A93)</f>
        <v>93</v>
      </c>
      <c r="B103">
        <v>44579109</v>
      </c>
      <c r="C103">
        <v>44571594</v>
      </c>
      <c r="D103">
        <v>13901789</v>
      </c>
      <c r="E103">
        <v>1</v>
      </c>
      <c r="F103">
        <v>1</v>
      </c>
      <c r="G103">
        <v>1</v>
      </c>
      <c r="H103">
        <v>2</v>
      </c>
      <c r="I103" t="s">
        <v>506</v>
      </c>
      <c r="J103" t="s">
        <v>507</v>
      </c>
      <c r="K103" t="s">
        <v>508</v>
      </c>
      <c r="L103">
        <v>1368</v>
      </c>
      <c r="N103">
        <v>1011</v>
      </c>
      <c r="O103" t="s">
        <v>453</v>
      </c>
      <c r="P103" t="s">
        <v>453</v>
      </c>
      <c r="Q103">
        <v>1</v>
      </c>
      <c r="X103">
        <v>0.03</v>
      </c>
      <c r="Y103">
        <v>0</v>
      </c>
      <c r="Z103">
        <v>156.72</v>
      </c>
      <c r="AA103">
        <v>13.12</v>
      </c>
      <c r="AB103">
        <v>0</v>
      </c>
      <c r="AC103">
        <v>0</v>
      </c>
      <c r="AD103">
        <v>1</v>
      </c>
      <c r="AE103">
        <v>0</v>
      </c>
      <c r="AF103" t="s">
        <v>86</v>
      </c>
      <c r="AG103">
        <v>0.04139999999999999</v>
      </c>
      <c r="AH103">
        <v>2</v>
      </c>
      <c r="AI103">
        <v>44579109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ROW(Source!A93)</f>
        <v>93</v>
      </c>
      <c r="B104">
        <v>44579110</v>
      </c>
      <c r="C104">
        <v>44571594</v>
      </c>
      <c r="D104">
        <v>13904227</v>
      </c>
      <c r="E104">
        <v>1</v>
      </c>
      <c r="F104">
        <v>1</v>
      </c>
      <c r="G104">
        <v>1</v>
      </c>
      <c r="H104">
        <v>2</v>
      </c>
      <c r="I104" t="s">
        <v>482</v>
      </c>
      <c r="J104" t="s">
        <v>483</v>
      </c>
      <c r="K104" t="s">
        <v>484</v>
      </c>
      <c r="L104">
        <v>1368</v>
      </c>
      <c r="N104">
        <v>1011</v>
      </c>
      <c r="O104" t="s">
        <v>453</v>
      </c>
      <c r="P104" t="s">
        <v>453</v>
      </c>
      <c r="Q104">
        <v>1</v>
      </c>
      <c r="X104">
        <v>0.03</v>
      </c>
      <c r="Y104">
        <v>0</v>
      </c>
      <c r="Z104">
        <v>80.75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86</v>
      </c>
      <c r="AG104">
        <v>0.04139999999999999</v>
      </c>
      <c r="AH104">
        <v>2</v>
      </c>
      <c r="AI104">
        <v>44579110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ROW(Source!A93)</f>
        <v>93</v>
      </c>
      <c r="B105">
        <v>44579111</v>
      </c>
      <c r="C105">
        <v>44571594</v>
      </c>
      <c r="D105">
        <v>13905164</v>
      </c>
      <c r="E105">
        <v>1</v>
      </c>
      <c r="F105">
        <v>1</v>
      </c>
      <c r="G105">
        <v>1</v>
      </c>
      <c r="H105">
        <v>3</v>
      </c>
      <c r="I105" t="s">
        <v>540</v>
      </c>
      <c r="J105" t="s">
        <v>541</v>
      </c>
      <c r="K105" t="s">
        <v>542</v>
      </c>
      <c r="L105">
        <v>1348</v>
      </c>
      <c r="N105">
        <v>1009</v>
      </c>
      <c r="O105" t="s">
        <v>322</v>
      </c>
      <c r="P105" t="s">
        <v>322</v>
      </c>
      <c r="Q105">
        <v>1000</v>
      </c>
      <c r="X105">
        <v>0.0008</v>
      </c>
      <c r="Y105">
        <v>5976.4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0.0008</v>
      </c>
      <c r="AH105">
        <v>2</v>
      </c>
      <c r="AI105">
        <v>44579111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ROW(Source!A93)</f>
        <v>93</v>
      </c>
      <c r="B106">
        <v>44579112</v>
      </c>
      <c r="C106">
        <v>44571594</v>
      </c>
      <c r="D106">
        <v>13908077</v>
      </c>
      <c r="E106">
        <v>1</v>
      </c>
      <c r="F106">
        <v>1</v>
      </c>
      <c r="G106">
        <v>1</v>
      </c>
      <c r="H106">
        <v>3</v>
      </c>
      <c r="I106" t="s">
        <v>546</v>
      </c>
      <c r="J106" t="s">
        <v>547</v>
      </c>
      <c r="K106" t="s">
        <v>548</v>
      </c>
      <c r="L106">
        <v>1346</v>
      </c>
      <c r="N106">
        <v>1009</v>
      </c>
      <c r="O106" t="s">
        <v>222</v>
      </c>
      <c r="P106" t="s">
        <v>222</v>
      </c>
      <c r="Q106">
        <v>1</v>
      </c>
      <c r="X106">
        <v>3.3</v>
      </c>
      <c r="Y106">
        <v>4.16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3.3</v>
      </c>
      <c r="AH106">
        <v>2</v>
      </c>
      <c r="AI106">
        <v>44579112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ROW(Source!A93)</f>
        <v>93</v>
      </c>
      <c r="B107">
        <v>44579113</v>
      </c>
      <c r="C107">
        <v>44571594</v>
      </c>
      <c r="D107">
        <v>13908341</v>
      </c>
      <c r="E107">
        <v>1</v>
      </c>
      <c r="F107">
        <v>1</v>
      </c>
      <c r="G107">
        <v>1</v>
      </c>
      <c r="H107">
        <v>3</v>
      </c>
      <c r="I107" t="s">
        <v>524</v>
      </c>
      <c r="J107" t="s">
        <v>525</v>
      </c>
      <c r="K107" t="s">
        <v>526</v>
      </c>
      <c r="L107">
        <v>1308</v>
      </c>
      <c r="N107">
        <v>1003</v>
      </c>
      <c r="O107" t="s">
        <v>527</v>
      </c>
      <c r="P107" t="s">
        <v>527</v>
      </c>
      <c r="Q107">
        <v>100</v>
      </c>
      <c r="X107">
        <v>0.0024</v>
      </c>
      <c r="Y107">
        <v>115.45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0.0024</v>
      </c>
      <c r="AH107">
        <v>2</v>
      </c>
      <c r="AI107">
        <v>44579113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ROW(Source!A93)</f>
        <v>93</v>
      </c>
      <c r="B108">
        <v>44579114</v>
      </c>
      <c r="C108">
        <v>44571594</v>
      </c>
      <c r="D108">
        <v>14010598</v>
      </c>
      <c r="E108">
        <v>1</v>
      </c>
      <c r="F108">
        <v>1</v>
      </c>
      <c r="G108">
        <v>1</v>
      </c>
      <c r="H108">
        <v>3</v>
      </c>
      <c r="I108" t="s">
        <v>543</v>
      </c>
      <c r="J108" t="s">
        <v>544</v>
      </c>
      <c r="K108" t="s">
        <v>545</v>
      </c>
      <c r="L108">
        <v>1348</v>
      </c>
      <c r="N108">
        <v>1009</v>
      </c>
      <c r="O108" t="s">
        <v>322</v>
      </c>
      <c r="P108" t="s">
        <v>322</v>
      </c>
      <c r="Q108">
        <v>1000</v>
      </c>
      <c r="X108">
        <v>2E-05</v>
      </c>
      <c r="Y108">
        <v>9678.22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2E-05</v>
      </c>
      <c r="AH108">
        <v>2</v>
      </c>
      <c r="AI108">
        <v>44579114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ROW(Source!A93)</f>
        <v>93</v>
      </c>
      <c r="B109">
        <v>44579115</v>
      </c>
      <c r="C109">
        <v>44571594</v>
      </c>
      <c r="D109">
        <v>14105700</v>
      </c>
      <c r="E109">
        <v>1</v>
      </c>
      <c r="F109">
        <v>1</v>
      </c>
      <c r="G109">
        <v>1</v>
      </c>
      <c r="H109">
        <v>3</v>
      </c>
      <c r="I109" t="s">
        <v>502</v>
      </c>
      <c r="J109" t="s">
        <v>503</v>
      </c>
      <c r="K109" t="s">
        <v>504</v>
      </c>
      <c r="L109">
        <v>1374</v>
      </c>
      <c r="N109">
        <v>1013</v>
      </c>
      <c r="O109" t="s">
        <v>505</v>
      </c>
      <c r="P109" t="s">
        <v>505</v>
      </c>
      <c r="Q109">
        <v>1</v>
      </c>
      <c r="X109">
        <v>1.56</v>
      </c>
      <c r="Y109">
        <v>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1.56</v>
      </c>
      <c r="AH109">
        <v>2</v>
      </c>
      <c r="AI109">
        <v>44579115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ROW(Source!A94)</f>
        <v>94</v>
      </c>
      <c r="B110">
        <v>44571620</v>
      </c>
      <c r="C110">
        <v>44571613</v>
      </c>
      <c r="D110">
        <v>9915120</v>
      </c>
      <c r="E110">
        <v>1</v>
      </c>
      <c r="F110">
        <v>1</v>
      </c>
      <c r="G110">
        <v>1</v>
      </c>
      <c r="H110">
        <v>1</v>
      </c>
      <c r="I110" t="s">
        <v>500</v>
      </c>
      <c r="K110" t="s">
        <v>501</v>
      </c>
      <c r="L110">
        <v>1191</v>
      </c>
      <c r="N110">
        <v>1013</v>
      </c>
      <c r="O110" t="s">
        <v>445</v>
      </c>
      <c r="P110" t="s">
        <v>445</v>
      </c>
      <c r="Q110">
        <v>1</v>
      </c>
      <c r="X110">
        <v>0.38</v>
      </c>
      <c r="Y110">
        <v>0</v>
      </c>
      <c r="Z110">
        <v>0</v>
      </c>
      <c r="AA110">
        <v>0</v>
      </c>
      <c r="AB110">
        <v>9.35</v>
      </c>
      <c r="AC110">
        <v>0</v>
      </c>
      <c r="AD110">
        <v>1</v>
      </c>
      <c r="AE110">
        <v>1</v>
      </c>
      <c r="AF110" t="s">
        <v>86</v>
      </c>
      <c r="AG110">
        <v>0.5243999999999999</v>
      </c>
      <c r="AH110">
        <v>2</v>
      </c>
      <c r="AI110">
        <v>44571614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ROW(Source!A94)</f>
        <v>94</v>
      </c>
      <c r="B111">
        <v>44571621</v>
      </c>
      <c r="C111">
        <v>44571613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28</v>
      </c>
      <c r="K111" t="s">
        <v>446</v>
      </c>
      <c r="L111">
        <v>608254</v>
      </c>
      <c r="N111">
        <v>1013</v>
      </c>
      <c r="O111" t="s">
        <v>447</v>
      </c>
      <c r="P111" t="s">
        <v>447</v>
      </c>
      <c r="Q111">
        <v>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F111" t="s">
        <v>86</v>
      </c>
      <c r="AG111">
        <v>0</v>
      </c>
      <c r="AH111">
        <v>2</v>
      </c>
      <c r="AI111">
        <v>44571615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ROW(Source!A94)</f>
        <v>94</v>
      </c>
      <c r="B112">
        <v>44571622</v>
      </c>
      <c r="C112">
        <v>44571613</v>
      </c>
      <c r="D112">
        <v>13907403</v>
      </c>
      <c r="E112">
        <v>1</v>
      </c>
      <c r="F112">
        <v>1</v>
      </c>
      <c r="G112">
        <v>1</v>
      </c>
      <c r="H112">
        <v>3</v>
      </c>
      <c r="I112" t="s">
        <v>549</v>
      </c>
      <c r="J112" t="s">
        <v>550</v>
      </c>
      <c r="K112" t="s">
        <v>551</v>
      </c>
      <c r="L112">
        <v>1346</v>
      </c>
      <c r="N112">
        <v>1009</v>
      </c>
      <c r="O112" t="s">
        <v>222</v>
      </c>
      <c r="P112" t="s">
        <v>222</v>
      </c>
      <c r="Q112">
        <v>1</v>
      </c>
      <c r="X112">
        <v>0.15</v>
      </c>
      <c r="Y112">
        <v>9.54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0.15</v>
      </c>
      <c r="AH112">
        <v>2</v>
      </c>
      <c r="AI112">
        <v>44571616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ROW(Source!A94)</f>
        <v>94</v>
      </c>
      <c r="B113">
        <v>44571623</v>
      </c>
      <c r="C113">
        <v>44571613</v>
      </c>
      <c r="D113">
        <v>14010168</v>
      </c>
      <c r="E113">
        <v>1</v>
      </c>
      <c r="F113">
        <v>1</v>
      </c>
      <c r="G113">
        <v>1</v>
      </c>
      <c r="H113">
        <v>3</v>
      </c>
      <c r="I113" t="s">
        <v>220</v>
      </c>
      <c r="J113" t="s">
        <v>223</v>
      </c>
      <c r="K113" t="s">
        <v>221</v>
      </c>
      <c r="L113">
        <v>1346</v>
      </c>
      <c r="N113">
        <v>1009</v>
      </c>
      <c r="O113" t="s">
        <v>222</v>
      </c>
      <c r="P113" t="s">
        <v>222</v>
      </c>
      <c r="Q113">
        <v>1</v>
      </c>
      <c r="X113">
        <v>0.72</v>
      </c>
      <c r="Y113">
        <v>19.94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0.72</v>
      </c>
      <c r="AH113">
        <v>2</v>
      </c>
      <c r="AI113">
        <v>44571617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ROW(Source!A94)</f>
        <v>94</v>
      </c>
      <c r="B114">
        <v>44571624</v>
      </c>
      <c r="C114">
        <v>44571613</v>
      </c>
      <c r="D114">
        <v>14010331</v>
      </c>
      <c r="E114">
        <v>1</v>
      </c>
      <c r="F114">
        <v>1</v>
      </c>
      <c r="G114">
        <v>1</v>
      </c>
      <c r="H114">
        <v>3</v>
      </c>
      <c r="I114" t="s">
        <v>552</v>
      </c>
      <c r="J114" t="s">
        <v>553</v>
      </c>
      <c r="K114" t="s">
        <v>554</v>
      </c>
      <c r="L114">
        <v>1348</v>
      </c>
      <c r="N114">
        <v>1009</v>
      </c>
      <c r="O114" t="s">
        <v>322</v>
      </c>
      <c r="P114" t="s">
        <v>322</v>
      </c>
      <c r="Q114">
        <v>1000</v>
      </c>
      <c r="X114">
        <v>6E-05</v>
      </c>
      <c r="Y114">
        <v>32178.31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6E-05</v>
      </c>
      <c r="AH114">
        <v>2</v>
      </c>
      <c r="AI114">
        <v>44571618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ROW(Source!A94)</f>
        <v>94</v>
      </c>
      <c r="B115">
        <v>44571625</v>
      </c>
      <c r="C115">
        <v>44571613</v>
      </c>
      <c r="D115">
        <v>14105700</v>
      </c>
      <c r="E115">
        <v>1</v>
      </c>
      <c r="F115">
        <v>1</v>
      </c>
      <c r="G115">
        <v>1</v>
      </c>
      <c r="H115">
        <v>3</v>
      </c>
      <c r="I115" t="s">
        <v>502</v>
      </c>
      <c r="J115" t="s">
        <v>503</v>
      </c>
      <c r="K115" t="s">
        <v>504</v>
      </c>
      <c r="L115">
        <v>1374</v>
      </c>
      <c r="N115">
        <v>1013</v>
      </c>
      <c r="O115" t="s">
        <v>505</v>
      </c>
      <c r="P115" t="s">
        <v>505</v>
      </c>
      <c r="Q115">
        <v>1</v>
      </c>
      <c r="X115">
        <v>0.07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0.07</v>
      </c>
      <c r="AH115">
        <v>2</v>
      </c>
      <c r="AI115">
        <v>44571619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ROW(Source!A96)</f>
        <v>96</v>
      </c>
      <c r="B116">
        <v>44580392</v>
      </c>
      <c r="C116">
        <v>44580391</v>
      </c>
      <c r="D116">
        <v>9928470</v>
      </c>
      <c r="E116">
        <v>1</v>
      </c>
      <c r="F116">
        <v>1</v>
      </c>
      <c r="G116">
        <v>1</v>
      </c>
      <c r="H116">
        <v>1</v>
      </c>
      <c r="I116" t="s">
        <v>555</v>
      </c>
      <c r="K116" t="s">
        <v>556</v>
      </c>
      <c r="L116">
        <v>1191</v>
      </c>
      <c r="N116">
        <v>1013</v>
      </c>
      <c r="O116" t="s">
        <v>445</v>
      </c>
      <c r="P116" t="s">
        <v>445</v>
      </c>
      <c r="Q116">
        <v>1</v>
      </c>
      <c r="X116">
        <v>1.23</v>
      </c>
      <c r="Y116">
        <v>0</v>
      </c>
      <c r="Z116">
        <v>0</v>
      </c>
      <c r="AA116">
        <v>0</v>
      </c>
      <c r="AB116">
        <v>10.49</v>
      </c>
      <c r="AC116">
        <v>0</v>
      </c>
      <c r="AD116">
        <v>1</v>
      </c>
      <c r="AE116">
        <v>1</v>
      </c>
      <c r="AF116" t="s">
        <v>191</v>
      </c>
      <c r="AG116">
        <v>1.6605</v>
      </c>
      <c r="AH116">
        <v>2</v>
      </c>
      <c r="AI116">
        <v>44580392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ROW(Source!A96)</f>
        <v>96</v>
      </c>
      <c r="B117">
        <v>44580393</v>
      </c>
      <c r="C117">
        <v>44580391</v>
      </c>
      <c r="D117">
        <v>121548</v>
      </c>
      <c r="E117">
        <v>1</v>
      </c>
      <c r="F117">
        <v>1</v>
      </c>
      <c r="G117">
        <v>1</v>
      </c>
      <c r="H117">
        <v>1</v>
      </c>
      <c r="I117" t="s">
        <v>28</v>
      </c>
      <c r="K117" t="s">
        <v>446</v>
      </c>
      <c r="L117">
        <v>608254</v>
      </c>
      <c r="N117">
        <v>1013</v>
      </c>
      <c r="O117" t="s">
        <v>447</v>
      </c>
      <c r="P117" t="s">
        <v>447</v>
      </c>
      <c r="Q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2</v>
      </c>
      <c r="AF117" t="s">
        <v>191</v>
      </c>
      <c r="AG117">
        <v>0</v>
      </c>
      <c r="AH117">
        <v>2</v>
      </c>
      <c r="AI117">
        <v>44580393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ROW(Source!A96)</f>
        <v>96</v>
      </c>
      <c r="B118">
        <v>44580394</v>
      </c>
      <c r="C118">
        <v>44580391</v>
      </c>
      <c r="D118">
        <v>13903812</v>
      </c>
      <c r="E118">
        <v>1</v>
      </c>
      <c r="F118">
        <v>1</v>
      </c>
      <c r="G118">
        <v>1</v>
      </c>
      <c r="H118">
        <v>2</v>
      </c>
      <c r="I118" t="s">
        <v>557</v>
      </c>
      <c r="J118" t="s">
        <v>558</v>
      </c>
      <c r="K118" t="s">
        <v>559</v>
      </c>
      <c r="L118">
        <v>1368</v>
      </c>
      <c r="N118">
        <v>1011</v>
      </c>
      <c r="O118" t="s">
        <v>453</v>
      </c>
      <c r="P118" t="s">
        <v>453</v>
      </c>
      <c r="Q118">
        <v>1</v>
      </c>
      <c r="X118">
        <v>0.06</v>
      </c>
      <c r="Y118">
        <v>0</v>
      </c>
      <c r="Z118">
        <v>2.44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191</v>
      </c>
      <c r="AG118">
        <v>0.081</v>
      </c>
      <c r="AH118">
        <v>2</v>
      </c>
      <c r="AI118">
        <v>44580394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ROW(Source!A96)</f>
        <v>96</v>
      </c>
      <c r="B119">
        <v>44580395</v>
      </c>
      <c r="C119">
        <v>44580391</v>
      </c>
      <c r="D119">
        <v>13904004</v>
      </c>
      <c r="E119">
        <v>1</v>
      </c>
      <c r="F119">
        <v>1</v>
      </c>
      <c r="G119">
        <v>1</v>
      </c>
      <c r="H119">
        <v>2</v>
      </c>
      <c r="I119" t="s">
        <v>560</v>
      </c>
      <c r="J119" t="s">
        <v>561</v>
      </c>
      <c r="K119" t="s">
        <v>562</v>
      </c>
      <c r="L119">
        <v>1368</v>
      </c>
      <c r="N119">
        <v>1011</v>
      </c>
      <c r="O119" t="s">
        <v>453</v>
      </c>
      <c r="P119" t="s">
        <v>453</v>
      </c>
      <c r="Q119">
        <v>1</v>
      </c>
      <c r="X119">
        <v>0.1</v>
      </c>
      <c r="Y119">
        <v>0</v>
      </c>
      <c r="Z119">
        <v>1.34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191</v>
      </c>
      <c r="AG119">
        <v>0.135</v>
      </c>
      <c r="AH119">
        <v>2</v>
      </c>
      <c r="AI119">
        <v>44580395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ROW(Source!A96)</f>
        <v>96</v>
      </c>
      <c r="B120">
        <v>44580396</v>
      </c>
      <c r="C120">
        <v>44580391</v>
      </c>
      <c r="D120">
        <v>13907362</v>
      </c>
      <c r="E120">
        <v>1</v>
      </c>
      <c r="F120">
        <v>1</v>
      </c>
      <c r="G120">
        <v>1</v>
      </c>
      <c r="H120">
        <v>3</v>
      </c>
      <c r="I120" t="s">
        <v>563</v>
      </c>
      <c r="J120" t="s">
        <v>564</v>
      </c>
      <c r="K120" t="s">
        <v>565</v>
      </c>
      <c r="L120">
        <v>1346</v>
      </c>
      <c r="N120">
        <v>1009</v>
      </c>
      <c r="O120" t="s">
        <v>222</v>
      </c>
      <c r="P120" t="s">
        <v>222</v>
      </c>
      <c r="Q120">
        <v>1</v>
      </c>
      <c r="X120">
        <v>0.008</v>
      </c>
      <c r="Y120">
        <v>35.93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0.008</v>
      </c>
      <c r="AH120">
        <v>2</v>
      </c>
      <c r="AI120">
        <v>44580396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ROW(Source!A96)</f>
        <v>96</v>
      </c>
      <c r="B121">
        <v>44580397</v>
      </c>
      <c r="C121">
        <v>44580391</v>
      </c>
      <c r="D121">
        <v>13907682</v>
      </c>
      <c r="E121">
        <v>1</v>
      </c>
      <c r="F121">
        <v>1</v>
      </c>
      <c r="G121">
        <v>1</v>
      </c>
      <c r="H121">
        <v>3</v>
      </c>
      <c r="I121" t="s">
        <v>566</v>
      </c>
      <c r="J121" t="s">
        <v>567</v>
      </c>
      <c r="K121" t="s">
        <v>568</v>
      </c>
      <c r="L121">
        <v>1346</v>
      </c>
      <c r="N121">
        <v>1009</v>
      </c>
      <c r="O121" t="s">
        <v>222</v>
      </c>
      <c r="P121" t="s">
        <v>222</v>
      </c>
      <c r="Q121">
        <v>1</v>
      </c>
      <c r="X121">
        <v>0.002</v>
      </c>
      <c r="Y121">
        <v>17.68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0.002</v>
      </c>
      <c r="AH121">
        <v>2</v>
      </c>
      <c r="AI121">
        <v>44580397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ROW(Source!A96)</f>
        <v>96</v>
      </c>
      <c r="B122">
        <v>44580398</v>
      </c>
      <c r="C122">
        <v>44580391</v>
      </c>
      <c r="D122">
        <v>13907695</v>
      </c>
      <c r="E122">
        <v>1</v>
      </c>
      <c r="F122">
        <v>1</v>
      </c>
      <c r="G122">
        <v>1</v>
      </c>
      <c r="H122">
        <v>3</v>
      </c>
      <c r="I122" t="s">
        <v>569</v>
      </c>
      <c r="J122" t="s">
        <v>570</v>
      </c>
      <c r="K122" t="s">
        <v>571</v>
      </c>
      <c r="L122">
        <v>1346</v>
      </c>
      <c r="N122">
        <v>1009</v>
      </c>
      <c r="O122" t="s">
        <v>222</v>
      </c>
      <c r="P122" t="s">
        <v>222</v>
      </c>
      <c r="Q122">
        <v>1</v>
      </c>
      <c r="X122">
        <v>0.208</v>
      </c>
      <c r="Y122">
        <v>8.84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0.208</v>
      </c>
      <c r="AH122">
        <v>2</v>
      </c>
      <c r="AI122">
        <v>44580398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ROW(Source!A96)</f>
        <v>96</v>
      </c>
      <c r="B123">
        <v>44580399</v>
      </c>
      <c r="C123">
        <v>44580391</v>
      </c>
      <c r="D123">
        <v>13908185</v>
      </c>
      <c r="E123">
        <v>1</v>
      </c>
      <c r="F123">
        <v>1</v>
      </c>
      <c r="G123">
        <v>1</v>
      </c>
      <c r="H123">
        <v>3</v>
      </c>
      <c r="I123" t="s">
        <v>572</v>
      </c>
      <c r="J123" t="s">
        <v>573</v>
      </c>
      <c r="K123" t="s">
        <v>574</v>
      </c>
      <c r="L123">
        <v>1346</v>
      </c>
      <c r="N123">
        <v>1009</v>
      </c>
      <c r="O123" t="s">
        <v>222</v>
      </c>
      <c r="P123" t="s">
        <v>222</v>
      </c>
      <c r="Q123">
        <v>1</v>
      </c>
      <c r="X123">
        <v>0.001</v>
      </c>
      <c r="Y123">
        <v>158.87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0.001</v>
      </c>
      <c r="AH123">
        <v>2</v>
      </c>
      <c r="AI123">
        <v>44580399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ROW(Source!A96)</f>
        <v>96</v>
      </c>
      <c r="B124">
        <v>44580400</v>
      </c>
      <c r="C124">
        <v>44580391</v>
      </c>
      <c r="D124">
        <v>13908368</v>
      </c>
      <c r="E124">
        <v>1</v>
      </c>
      <c r="F124">
        <v>1</v>
      </c>
      <c r="G124">
        <v>1</v>
      </c>
      <c r="H124">
        <v>3</v>
      </c>
      <c r="I124" t="s">
        <v>575</v>
      </c>
      <c r="J124" t="s">
        <v>576</v>
      </c>
      <c r="K124" t="s">
        <v>577</v>
      </c>
      <c r="L124">
        <v>1346</v>
      </c>
      <c r="N124">
        <v>1009</v>
      </c>
      <c r="O124" t="s">
        <v>222</v>
      </c>
      <c r="P124" t="s">
        <v>222</v>
      </c>
      <c r="Q124">
        <v>1</v>
      </c>
      <c r="X124">
        <v>0.02</v>
      </c>
      <c r="Y124">
        <v>36.29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0.02</v>
      </c>
      <c r="AH124">
        <v>2</v>
      </c>
      <c r="AI124">
        <v>44580400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ROW(Source!A96)</f>
        <v>96</v>
      </c>
      <c r="B125">
        <v>44580401</v>
      </c>
      <c r="C125">
        <v>44580391</v>
      </c>
      <c r="D125">
        <v>14010602</v>
      </c>
      <c r="E125">
        <v>1</v>
      </c>
      <c r="F125">
        <v>1</v>
      </c>
      <c r="G125">
        <v>1</v>
      </c>
      <c r="H125">
        <v>3</v>
      </c>
      <c r="I125" t="s">
        <v>578</v>
      </c>
      <c r="J125" t="s">
        <v>579</v>
      </c>
      <c r="K125" t="s">
        <v>580</v>
      </c>
      <c r="L125">
        <v>1346</v>
      </c>
      <c r="N125">
        <v>1009</v>
      </c>
      <c r="O125" t="s">
        <v>222</v>
      </c>
      <c r="P125" t="s">
        <v>222</v>
      </c>
      <c r="Q125">
        <v>1</v>
      </c>
      <c r="X125">
        <v>0.005</v>
      </c>
      <c r="Y125">
        <v>53.7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0.005</v>
      </c>
      <c r="AH125">
        <v>2</v>
      </c>
      <c r="AI125">
        <v>44580401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ROW(Source!A96)</f>
        <v>96</v>
      </c>
      <c r="B126">
        <v>44580402</v>
      </c>
      <c r="C126">
        <v>44580391</v>
      </c>
      <c r="D126">
        <v>14105700</v>
      </c>
      <c r="E126">
        <v>1</v>
      </c>
      <c r="F126">
        <v>1</v>
      </c>
      <c r="G126">
        <v>1</v>
      </c>
      <c r="H126">
        <v>3</v>
      </c>
      <c r="I126" t="s">
        <v>502</v>
      </c>
      <c r="J126" t="s">
        <v>503</v>
      </c>
      <c r="K126" t="s">
        <v>504</v>
      </c>
      <c r="L126">
        <v>1374</v>
      </c>
      <c r="N126">
        <v>1013</v>
      </c>
      <c r="O126" t="s">
        <v>505</v>
      </c>
      <c r="P126" t="s">
        <v>505</v>
      </c>
      <c r="Q126">
        <v>1</v>
      </c>
      <c r="X126">
        <v>0.26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0.26</v>
      </c>
      <c r="AH126">
        <v>2</v>
      </c>
      <c r="AI126">
        <v>44580402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ROW(Source!A141)</f>
        <v>141</v>
      </c>
      <c r="B127">
        <v>44572310</v>
      </c>
      <c r="C127">
        <v>44572301</v>
      </c>
      <c r="D127">
        <v>9915216</v>
      </c>
      <c r="E127">
        <v>1</v>
      </c>
      <c r="F127">
        <v>1</v>
      </c>
      <c r="G127">
        <v>1</v>
      </c>
      <c r="H127">
        <v>1</v>
      </c>
      <c r="I127" t="s">
        <v>581</v>
      </c>
      <c r="K127" t="s">
        <v>582</v>
      </c>
      <c r="L127">
        <v>1191</v>
      </c>
      <c r="N127">
        <v>1013</v>
      </c>
      <c r="O127" t="s">
        <v>445</v>
      </c>
      <c r="P127" t="s">
        <v>445</v>
      </c>
      <c r="Q127">
        <v>1</v>
      </c>
      <c r="X127">
        <v>9.97</v>
      </c>
      <c r="Y127">
        <v>0</v>
      </c>
      <c r="Z127">
        <v>0</v>
      </c>
      <c r="AA127">
        <v>0</v>
      </c>
      <c r="AB127">
        <v>10.07</v>
      </c>
      <c r="AC127">
        <v>0</v>
      </c>
      <c r="AD127">
        <v>1</v>
      </c>
      <c r="AE127">
        <v>1</v>
      </c>
      <c r="AG127">
        <v>9.97</v>
      </c>
      <c r="AH127">
        <v>2</v>
      </c>
      <c r="AI127">
        <v>44572302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ROW(Source!A141)</f>
        <v>141</v>
      </c>
      <c r="B128">
        <v>44572311</v>
      </c>
      <c r="C128">
        <v>44572301</v>
      </c>
      <c r="D128">
        <v>121548</v>
      </c>
      <c r="E128">
        <v>1</v>
      </c>
      <c r="F128">
        <v>1</v>
      </c>
      <c r="G128">
        <v>1</v>
      </c>
      <c r="H128">
        <v>1</v>
      </c>
      <c r="I128" t="s">
        <v>28</v>
      </c>
      <c r="K128" t="s">
        <v>446</v>
      </c>
      <c r="L128">
        <v>608254</v>
      </c>
      <c r="N128">
        <v>1013</v>
      </c>
      <c r="O128" t="s">
        <v>447</v>
      </c>
      <c r="P128" t="s">
        <v>447</v>
      </c>
      <c r="Q128">
        <v>1</v>
      </c>
      <c r="X128">
        <v>10.01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G128">
        <v>10.01</v>
      </c>
      <c r="AH128">
        <v>2</v>
      </c>
      <c r="AI128">
        <v>44572303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ROW(Source!A141)</f>
        <v>141</v>
      </c>
      <c r="B129">
        <v>44572312</v>
      </c>
      <c r="C129">
        <v>44572301</v>
      </c>
      <c r="D129">
        <v>13901801</v>
      </c>
      <c r="E129">
        <v>1</v>
      </c>
      <c r="F129">
        <v>1</v>
      </c>
      <c r="G129">
        <v>1</v>
      </c>
      <c r="H129">
        <v>2</v>
      </c>
      <c r="I129" t="s">
        <v>583</v>
      </c>
      <c r="J129" t="s">
        <v>584</v>
      </c>
      <c r="K129" t="s">
        <v>585</v>
      </c>
      <c r="L129">
        <v>1368</v>
      </c>
      <c r="N129">
        <v>1011</v>
      </c>
      <c r="O129" t="s">
        <v>453</v>
      </c>
      <c r="P129" t="s">
        <v>453</v>
      </c>
      <c r="Q129">
        <v>1</v>
      </c>
      <c r="X129">
        <v>1.42</v>
      </c>
      <c r="Y129">
        <v>0</v>
      </c>
      <c r="Z129">
        <v>129.74</v>
      </c>
      <c r="AA129">
        <v>13.12</v>
      </c>
      <c r="AB129">
        <v>0</v>
      </c>
      <c r="AC129">
        <v>0</v>
      </c>
      <c r="AD129">
        <v>1</v>
      </c>
      <c r="AE129">
        <v>0</v>
      </c>
      <c r="AG129">
        <v>1.42</v>
      </c>
      <c r="AH129">
        <v>2</v>
      </c>
      <c r="AI129">
        <v>44572304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ROW(Source!A141)</f>
        <v>141</v>
      </c>
      <c r="B130">
        <v>44572313</v>
      </c>
      <c r="C130">
        <v>44572301</v>
      </c>
      <c r="D130">
        <v>13902027</v>
      </c>
      <c r="E130">
        <v>1</v>
      </c>
      <c r="F130">
        <v>1</v>
      </c>
      <c r="G130">
        <v>1</v>
      </c>
      <c r="H130">
        <v>2</v>
      </c>
      <c r="I130" t="s">
        <v>586</v>
      </c>
      <c r="J130" t="s">
        <v>587</v>
      </c>
      <c r="K130" t="s">
        <v>588</v>
      </c>
      <c r="L130">
        <v>1368</v>
      </c>
      <c r="N130">
        <v>1011</v>
      </c>
      <c r="O130" t="s">
        <v>453</v>
      </c>
      <c r="P130" t="s">
        <v>453</v>
      </c>
      <c r="Q130">
        <v>1</v>
      </c>
      <c r="X130">
        <v>0.63</v>
      </c>
      <c r="Y130">
        <v>0</v>
      </c>
      <c r="Z130">
        <v>0.7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0.63</v>
      </c>
      <c r="AH130">
        <v>2</v>
      </c>
      <c r="AI130">
        <v>44572305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ROW(Source!A141)</f>
        <v>141</v>
      </c>
      <c r="B131">
        <v>44572314</v>
      </c>
      <c r="C131">
        <v>44572301</v>
      </c>
      <c r="D131">
        <v>13902030</v>
      </c>
      <c r="E131">
        <v>1</v>
      </c>
      <c r="F131">
        <v>1</v>
      </c>
      <c r="G131">
        <v>1</v>
      </c>
      <c r="H131">
        <v>2</v>
      </c>
      <c r="I131" t="s">
        <v>473</v>
      </c>
      <c r="J131" t="s">
        <v>474</v>
      </c>
      <c r="K131" t="s">
        <v>475</v>
      </c>
      <c r="L131">
        <v>1368</v>
      </c>
      <c r="N131">
        <v>1011</v>
      </c>
      <c r="O131" t="s">
        <v>453</v>
      </c>
      <c r="P131" t="s">
        <v>453</v>
      </c>
      <c r="Q131">
        <v>1</v>
      </c>
      <c r="X131">
        <v>0.5</v>
      </c>
      <c r="Y131">
        <v>0</v>
      </c>
      <c r="Z131">
        <v>30.69</v>
      </c>
      <c r="AA131">
        <v>11.28</v>
      </c>
      <c r="AB131">
        <v>0</v>
      </c>
      <c r="AC131">
        <v>0</v>
      </c>
      <c r="AD131">
        <v>1</v>
      </c>
      <c r="AE131">
        <v>0</v>
      </c>
      <c r="AG131">
        <v>0.5</v>
      </c>
      <c r="AH131">
        <v>2</v>
      </c>
      <c r="AI131">
        <v>44572306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ROW(Source!A141)</f>
        <v>141</v>
      </c>
      <c r="B132">
        <v>44572315</v>
      </c>
      <c r="C132">
        <v>44572301</v>
      </c>
      <c r="D132">
        <v>13902589</v>
      </c>
      <c r="E132">
        <v>1</v>
      </c>
      <c r="F132">
        <v>1</v>
      </c>
      <c r="G132">
        <v>1</v>
      </c>
      <c r="H132">
        <v>2</v>
      </c>
      <c r="I132" t="s">
        <v>589</v>
      </c>
      <c r="J132" t="s">
        <v>590</v>
      </c>
      <c r="K132" t="s">
        <v>591</v>
      </c>
      <c r="L132">
        <v>1368</v>
      </c>
      <c r="N132">
        <v>1011</v>
      </c>
      <c r="O132" t="s">
        <v>453</v>
      </c>
      <c r="P132" t="s">
        <v>453</v>
      </c>
      <c r="Q132">
        <v>1</v>
      </c>
      <c r="X132">
        <v>0.59</v>
      </c>
      <c r="Y132">
        <v>0</v>
      </c>
      <c r="Z132">
        <v>134.79</v>
      </c>
      <c r="AA132">
        <v>11.28</v>
      </c>
      <c r="AB132">
        <v>0</v>
      </c>
      <c r="AC132">
        <v>0</v>
      </c>
      <c r="AD132">
        <v>1</v>
      </c>
      <c r="AE132">
        <v>0</v>
      </c>
      <c r="AG132">
        <v>0.59</v>
      </c>
      <c r="AH132">
        <v>2</v>
      </c>
      <c r="AI132">
        <v>44572307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ROW(Source!A141)</f>
        <v>141</v>
      </c>
      <c r="B133">
        <v>44572316</v>
      </c>
      <c r="C133">
        <v>44572301</v>
      </c>
      <c r="D133">
        <v>13903509</v>
      </c>
      <c r="E133">
        <v>1</v>
      </c>
      <c r="F133">
        <v>1</v>
      </c>
      <c r="G133">
        <v>1</v>
      </c>
      <c r="H133">
        <v>2</v>
      </c>
      <c r="I133" t="s">
        <v>592</v>
      </c>
      <c r="J133" t="s">
        <v>593</v>
      </c>
      <c r="K133" t="s">
        <v>594</v>
      </c>
      <c r="L133">
        <v>1368</v>
      </c>
      <c r="N133">
        <v>1011</v>
      </c>
      <c r="O133" t="s">
        <v>453</v>
      </c>
      <c r="P133" t="s">
        <v>453</v>
      </c>
      <c r="Q133">
        <v>1</v>
      </c>
      <c r="X133">
        <v>7.5</v>
      </c>
      <c r="Y133">
        <v>0</v>
      </c>
      <c r="Z133">
        <v>1657</v>
      </c>
      <c r="AA133">
        <v>14.99</v>
      </c>
      <c r="AB133">
        <v>0</v>
      </c>
      <c r="AC133">
        <v>0</v>
      </c>
      <c r="AD133">
        <v>1</v>
      </c>
      <c r="AE133">
        <v>0</v>
      </c>
      <c r="AG133">
        <v>7.5</v>
      </c>
      <c r="AH133">
        <v>2</v>
      </c>
      <c r="AI133">
        <v>44572308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ROW(Source!A141)</f>
        <v>141</v>
      </c>
      <c r="B134">
        <v>44572317</v>
      </c>
      <c r="C134">
        <v>44572301</v>
      </c>
      <c r="D134">
        <v>13928781</v>
      </c>
      <c r="E134">
        <v>1</v>
      </c>
      <c r="F134">
        <v>1</v>
      </c>
      <c r="G134">
        <v>1</v>
      </c>
      <c r="H134">
        <v>3</v>
      </c>
      <c r="I134" t="s">
        <v>727</v>
      </c>
      <c r="J134" t="s">
        <v>728</v>
      </c>
      <c r="K134" t="s">
        <v>729</v>
      </c>
      <c r="L134">
        <v>1348</v>
      </c>
      <c r="N134">
        <v>1009</v>
      </c>
      <c r="O134" t="s">
        <v>322</v>
      </c>
      <c r="P134" t="s">
        <v>322</v>
      </c>
      <c r="Q134">
        <v>1000</v>
      </c>
      <c r="X134">
        <v>0</v>
      </c>
      <c r="Y134">
        <v>208000</v>
      </c>
      <c r="Z134">
        <v>0</v>
      </c>
      <c r="AA134">
        <v>0</v>
      </c>
      <c r="AB134">
        <v>0</v>
      </c>
      <c r="AC134">
        <v>1</v>
      </c>
      <c r="AD134">
        <v>0</v>
      </c>
      <c r="AE134">
        <v>0</v>
      </c>
      <c r="AG134">
        <v>0</v>
      </c>
      <c r="AH134">
        <v>3</v>
      </c>
      <c r="AI134">
        <v>-1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ROW(Source!A141)</f>
        <v>141</v>
      </c>
      <c r="B135">
        <v>44572318</v>
      </c>
      <c r="C135">
        <v>44572301</v>
      </c>
      <c r="D135">
        <v>13984221</v>
      </c>
      <c r="E135">
        <v>1</v>
      </c>
      <c r="F135">
        <v>1</v>
      </c>
      <c r="G135">
        <v>1</v>
      </c>
      <c r="H135">
        <v>3</v>
      </c>
      <c r="I135" t="s">
        <v>730</v>
      </c>
      <c r="J135" t="s">
        <v>731</v>
      </c>
      <c r="K135" t="s">
        <v>732</v>
      </c>
      <c r="L135">
        <v>1348</v>
      </c>
      <c r="N135">
        <v>1009</v>
      </c>
      <c r="O135" t="s">
        <v>322</v>
      </c>
      <c r="P135" t="s">
        <v>322</v>
      </c>
      <c r="Q135">
        <v>1000</v>
      </c>
      <c r="X135">
        <v>0</v>
      </c>
      <c r="Y135">
        <v>382.4</v>
      </c>
      <c r="Z135">
        <v>0</v>
      </c>
      <c r="AA135">
        <v>0</v>
      </c>
      <c r="AB135">
        <v>0</v>
      </c>
      <c r="AC135">
        <v>1</v>
      </c>
      <c r="AD135">
        <v>0</v>
      </c>
      <c r="AE135">
        <v>0</v>
      </c>
      <c r="AG135">
        <v>0</v>
      </c>
      <c r="AH135">
        <v>3</v>
      </c>
      <c r="AI135">
        <v>-1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ROW(Source!A141)</f>
        <v>141</v>
      </c>
      <c r="B136">
        <v>44572319</v>
      </c>
      <c r="C136">
        <v>44572301</v>
      </c>
      <c r="D136">
        <v>13985061</v>
      </c>
      <c r="E136">
        <v>1</v>
      </c>
      <c r="F136">
        <v>1</v>
      </c>
      <c r="G136">
        <v>1</v>
      </c>
      <c r="H136">
        <v>3</v>
      </c>
      <c r="I136" t="s">
        <v>489</v>
      </c>
      <c r="J136" t="s">
        <v>490</v>
      </c>
      <c r="K136" t="s">
        <v>491</v>
      </c>
      <c r="L136">
        <v>1339</v>
      </c>
      <c r="N136">
        <v>1007</v>
      </c>
      <c r="O136" t="s">
        <v>283</v>
      </c>
      <c r="P136" t="s">
        <v>283</v>
      </c>
      <c r="Q136">
        <v>1</v>
      </c>
      <c r="X136">
        <v>1.53</v>
      </c>
      <c r="Y136">
        <v>6.3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1.53</v>
      </c>
      <c r="AH136">
        <v>2</v>
      </c>
      <c r="AI136">
        <v>44572309</v>
      </c>
      <c r="AJ136">
        <v>134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ROW(Source!A142)</f>
        <v>142</v>
      </c>
      <c r="B137">
        <v>44572335</v>
      </c>
      <c r="C137">
        <v>44572320</v>
      </c>
      <c r="D137">
        <v>9914991</v>
      </c>
      <c r="E137">
        <v>1</v>
      </c>
      <c r="F137">
        <v>1</v>
      </c>
      <c r="G137">
        <v>1</v>
      </c>
      <c r="H137">
        <v>1</v>
      </c>
      <c r="I137" t="s">
        <v>595</v>
      </c>
      <c r="K137" t="s">
        <v>596</v>
      </c>
      <c r="L137">
        <v>1191</v>
      </c>
      <c r="N137">
        <v>1013</v>
      </c>
      <c r="O137" t="s">
        <v>445</v>
      </c>
      <c r="P137" t="s">
        <v>445</v>
      </c>
      <c r="Q137">
        <v>1</v>
      </c>
      <c r="X137">
        <v>83.71</v>
      </c>
      <c r="Y137">
        <v>0</v>
      </c>
      <c r="Z137">
        <v>0</v>
      </c>
      <c r="AA137">
        <v>0</v>
      </c>
      <c r="AB137">
        <v>9.78</v>
      </c>
      <c r="AC137">
        <v>0</v>
      </c>
      <c r="AD137">
        <v>1</v>
      </c>
      <c r="AE137">
        <v>1</v>
      </c>
      <c r="AF137" t="s">
        <v>244</v>
      </c>
      <c r="AG137">
        <v>28.335835</v>
      </c>
      <c r="AH137">
        <v>2</v>
      </c>
      <c r="AI137">
        <v>44572321</v>
      </c>
      <c r="AJ137">
        <v>135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ROW(Source!A142)</f>
        <v>142</v>
      </c>
      <c r="B138">
        <v>44572336</v>
      </c>
      <c r="C138">
        <v>44572320</v>
      </c>
      <c r="D138">
        <v>121548</v>
      </c>
      <c r="E138">
        <v>1</v>
      </c>
      <c r="F138">
        <v>1</v>
      </c>
      <c r="G138">
        <v>1</v>
      </c>
      <c r="H138">
        <v>1</v>
      </c>
      <c r="I138" t="s">
        <v>28</v>
      </c>
      <c r="K138" t="s">
        <v>446</v>
      </c>
      <c r="L138">
        <v>608254</v>
      </c>
      <c r="N138">
        <v>1013</v>
      </c>
      <c r="O138" t="s">
        <v>447</v>
      </c>
      <c r="P138" t="s">
        <v>447</v>
      </c>
      <c r="Q138">
        <v>1</v>
      </c>
      <c r="X138">
        <v>71.78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F138" t="s">
        <v>244</v>
      </c>
      <c r="AG138">
        <v>24.297530000000002</v>
      </c>
      <c r="AH138">
        <v>2</v>
      </c>
      <c r="AI138">
        <v>44572322</v>
      </c>
      <c r="AJ138">
        <v>136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ROW(Source!A142)</f>
        <v>142</v>
      </c>
      <c r="B139">
        <v>44572337</v>
      </c>
      <c r="C139">
        <v>44572320</v>
      </c>
      <c r="D139">
        <v>13901801</v>
      </c>
      <c r="E139">
        <v>1</v>
      </c>
      <c r="F139">
        <v>1</v>
      </c>
      <c r="G139">
        <v>1</v>
      </c>
      <c r="H139">
        <v>2</v>
      </c>
      <c r="I139" t="s">
        <v>583</v>
      </c>
      <c r="J139" t="s">
        <v>584</v>
      </c>
      <c r="K139" t="s">
        <v>585</v>
      </c>
      <c r="L139">
        <v>1368</v>
      </c>
      <c r="N139">
        <v>1011</v>
      </c>
      <c r="O139" t="s">
        <v>453</v>
      </c>
      <c r="P139" t="s">
        <v>453</v>
      </c>
      <c r="Q139">
        <v>1</v>
      </c>
      <c r="X139">
        <v>7.61</v>
      </c>
      <c r="Y139">
        <v>0</v>
      </c>
      <c r="Z139">
        <v>129.74</v>
      </c>
      <c r="AA139">
        <v>13.12</v>
      </c>
      <c r="AB139">
        <v>0</v>
      </c>
      <c r="AC139">
        <v>0</v>
      </c>
      <c r="AD139">
        <v>1</v>
      </c>
      <c r="AE139">
        <v>0</v>
      </c>
      <c r="AF139" t="s">
        <v>244</v>
      </c>
      <c r="AG139">
        <v>2.575985</v>
      </c>
      <c r="AH139">
        <v>2</v>
      </c>
      <c r="AI139">
        <v>44572323</v>
      </c>
      <c r="AJ139">
        <v>137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ROW(Source!A142)</f>
        <v>142</v>
      </c>
      <c r="B140">
        <v>44572338</v>
      </c>
      <c r="C140">
        <v>44572320</v>
      </c>
      <c r="D140">
        <v>13902030</v>
      </c>
      <c r="E140">
        <v>1</v>
      </c>
      <c r="F140">
        <v>1</v>
      </c>
      <c r="G140">
        <v>1</v>
      </c>
      <c r="H140">
        <v>2</v>
      </c>
      <c r="I140" t="s">
        <v>473</v>
      </c>
      <c r="J140" t="s">
        <v>474</v>
      </c>
      <c r="K140" t="s">
        <v>475</v>
      </c>
      <c r="L140">
        <v>1368</v>
      </c>
      <c r="N140">
        <v>1011</v>
      </c>
      <c r="O140" t="s">
        <v>453</v>
      </c>
      <c r="P140" t="s">
        <v>453</v>
      </c>
      <c r="Q140">
        <v>1</v>
      </c>
      <c r="X140">
        <v>31.43</v>
      </c>
      <c r="Y140">
        <v>0</v>
      </c>
      <c r="Z140">
        <v>30.69</v>
      </c>
      <c r="AA140">
        <v>11.28</v>
      </c>
      <c r="AB140">
        <v>0</v>
      </c>
      <c r="AC140">
        <v>0</v>
      </c>
      <c r="AD140">
        <v>1</v>
      </c>
      <c r="AE140">
        <v>0</v>
      </c>
      <c r="AF140" t="s">
        <v>244</v>
      </c>
      <c r="AG140">
        <v>10.639055</v>
      </c>
      <c r="AH140">
        <v>2</v>
      </c>
      <c r="AI140">
        <v>44572324</v>
      </c>
      <c r="AJ140">
        <v>138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ROW(Source!A142)</f>
        <v>142</v>
      </c>
      <c r="B141">
        <v>44572339</v>
      </c>
      <c r="C141">
        <v>44572320</v>
      </c>
      <c r="D141">
        <v>13902040</v>
      </c>
      <c r="E141">
        <v>1</v>
      </c>
      <c r="F141">
        <v>1</v>
      </c>
      <c r="G141">
        <v>1</v>
      </c>
      <c r="H141">
        <v>2</v>
      </c>
      <c r="I141" t="s">
        <v>597</v>
      </c>
      <c r="J141" t="s">
        <v>598</v>
      </c>
      <c r="K141" t="s">
        <v>599</v>
      </c>
      <c r="L141">
        <v>1368</v>
      </c>
      <c r="N141">
        <v>1011</v>
      </c>
      <c r="O141" t="s">
        <v>453</v>
      </c>
      <c r="P141" t="s">
        <v>453</v>
      </c>
      <c r="Q141">
        <v>1</v>
      </c>
      <c r="X141">
        <v>22.9</v>
      </c>
      <c r="Y141">
        <v>0</v>
      </c>
      <c r="Z141">
        <v>14.1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244</v>
      </c>
      <c r="AG141">
        <v>7.75165</v>
      </c>
      <c r="AH141">
        <v>2</v>
      </c>
      <c r="AI141">
        <v>44572325</v>
      </c>
      <c r="AJ141">
        <v>139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ROW(Source!A142)</f>
        <v>142</v>
      </c>
      <c r="B142">
        <v>44572340</v>
      </c>
      <c r="C142">
        <v>44572320</v>
      </c>
      <c r="D142">
        <v>13902055</v>
      </c>
      <c r="E142">
        <v>1</v>
      </c>
      <c r="F142">
        <v>1</v>
      </c>
      <c r="G142">
        <v>1</v>
      </c>
      <c r="H142">
        <v>2</v>
      </c>
      <c r="I142" t="s">
        <v>600</v>
      </c>
      <c r="J142" t="s">
        <v>601</v>
      </c>
      <c r="K142" t="s">
        <v>602</v>
      </c>
      <c r="L142">
        <v>1368</v>
      </c>
      <c r="N142">
        <v>1011</v>
      </c>
      <c r="O142" t="s">
        <v>453</v>
      </c>
      <c r="P142" t="s">
        <v>453</v>
      </c>
      <c r="Q142">
        <v>1</v>
      </c>
      <c r="X142">
        <v>8.5</v>
      </c>
      <c r="Y142">
        <v>0</v>
      </c>
      <c r="Z142">
        <v>1.58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244</v>
      </c>
      <c r="AG142">
        <v>2.87725</v>
      </c>
      <c r="AH142">
        <v>2</v>
      </c>
      <c r="AI142">
        <v>44572326</v>
      </c>
      <c r="AJ142">
        <v>140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ROW(Source!A142)</f>
        <v>142</v>
      </c>
      <c r="B143">
        <v>44572341</v>
      </c>
      <c r="C143">
        <v>44572320</v>
      </c>
      <c r="D143">
        <v>13902167</v>
      </c>
      <c r="E143">
        <v>1</v>
      </c>
      <c r="F143">
        <v>1</v>
      </c>
      <c r="G143">
        <v>1</v>
      </c>
      <c r="H143">
        <v>2</v>
      </c>
      <c r="I143" t="s">
        <v>603</v>
      </c>
      <c r="J143" t="s">
        <v>604</v>
      </c>
      <c r="K143" t="s">
        <v>605</v>
      </c>
      <c r="L143">
        <v>1368</v>
      </c>
      <c r="N143">
        <v>1011</v>
      </c>
      <c r="O143" t="s">
        <v>453</v>
      </c>
      <c r="P143" t="s">
        <v>453</v>
      </c>
      <c r="Q143">
        <v>1</v>
      </c>
      <c r="X143">
        <v>0.34</v>
      </c>
      <c r="Y143">
        <v>0</v>
      </c>
      <c r="Z143">
        <v>116.86</v>
      </c>
      <c r="AA143">
        <v>11.28</v>
      </c>
      <c r="AB143">
        <v>0</v>
      </c>
      <c r="AC143">
        <v>0</v>
      </c>
      <c r="AD143">
        <v>1</v>
      </c>
      <c r="AE143">
        <v>0</v>
      </c>
      <c r="AF143" t="s">
        <v>244</v>
      </c>
      <c r="AG143">
        <v>0.11509000000000001</v>
      </c>
      <c r="AH143">
        <v>2</v>
      </c>
      <c r="AI143">
        <v>44572327</v>
      </c>
      <c r="AJ143">
        <v>141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ROW(Source!A142)</f>
        <v>142</v>
      </c>
      <c r="B144">
        <v>44572342</v>
      </c>
      <c r="C144">
        <v>44572320</v>
      </c>
      <c r="D144">
        <v>13902589</v>
      </c>
      <c r="E144">
        <v>1</v>
      </c>
      <c r="F144">
        <v>1</v>
      </c>
      <c r="G144">
        <v>1</v>
      </c>
      <c r="H144">
        <v>2</v>
      </c>
      <c r="I144" t="s">
        <v>589</v>
      </c>
      <c r="J144" t="s">
        <v>590</v>
      </c>
      <c r="K144" t="s">
        <v>591</v>
      </c>
      <c r="L144">
        <v>1368</v>
      </c>
      <c r="N144">
        <v>1011</v>
      </c>
      <c r="O144" t="s">
        <v>453</v>
      </c>
      <c r="P144" t="s">
        <v>453</v>
      </c>
      <c r="Q144">
        <v>1</v>
      </c>
      <c r="X144">
        <v>2.4</v>
      </c>
      <c r="Y144">
        <v>0</v>
      </c>
      <c r="Z144">
        <v>134.79</v>
      </c>
      <c r="AA144">
        <v>11.28</v>
      </c>
      <c r="AB144">
        <v>0</v>
      </c>
      <c r="AC144">
        <v>0</v>
      </c>
      <c r="AD144">
        <v>1</v>
      </c>
      <c r="AE144">
        <v>0</v>
      </c>
      <c r="AF144" t="s">
        <v>244</v>
      </c>
      <c r="AG144">
        <v>0.8124</v>
      </c>
      <c r="AH144">
        <v>2</v>
      </c>
      <c r="AI144">
        <v>44572328</v>
      </c>
      <c r="AJ144">
        <v>142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ROW(Source!A142)</f>
        <v>142</v>
      </c>
      <c r="B145">
        <v>44572343</v>
      </c>
      <c r="C145">
        <v>44572320</v>
      </c>
      <c r="D145">
        <v>13903509</v>
      </c>
      <c r="E145">
        <v>1</v>
      </c>
      <c r="F145">
        <v>1</v>
      </c>
      <c r="G145">
        <v>1</v>
      </c>
      <c r="H145">
        <v>2</v>
      </c>
      <c r="I145" t="s">
        <v>592</v>
      </c>
      <c r="J145" t="s">
        <v>593</v>
      </c>
      <c r="K145" t="s">
        <v>594</v>
      </c>
      <c r="L145">
        <v>1368</v>
      </c>
      <c r="N145">
        <v>1011</v>
      </c>
      <c r="O145" t="s">
        <v>453</v>
      </c>
      <c r="P145" t="s">
        <v>453</v>
      </c>
      <c r="Q145">
        <v>1</v>
      </c>
      <c r="X145">
        <v>30</v>
      </c>
      <c r="Y145">
        <v>0</v>
      </c>
      <c r="Z145">
        <v>1657</v>
      </c>
      <c r="AA145">
        <v>14.99</v>
      </c>
      <c r="AB145">
        <v>0</v>
      </c>
      <c r="AC145">
        <v>0</v>
      </c>
      <c r="AD145">
        <v>1</v>
      </c>
      <c r="AE145">
        <v>0</v>
      </c>
      <c r="AF145" t="s">
        <v>244</v>
      </c>
      <c r="AG145">
        <v>10.155000000000001</v>
      </c>
      <c r="AH145">
        <v>2</v>
      </c>
      <c r="AI145">
        <v>44572329</v>
      </c>
      <c r="AJ145">
        <v>143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ROW(Source!A142)</f>
        <v>142</v>
      </c>
      <c r="B146">
        <v>44572344</v>
      </c>
      <c r="C146">
        <v>44572320</v>
      </c>
      <c r="D146">
        <v>13904234</v>
      </c>
      <c r="E146">
        <v>1</v>
      </c>
      <c r="F146">
        <v>1</v>
      </c>
      <c r="G146">
        <v>1</v>
      </c>
      <c r="H146">
        <v>2</v>
      </c>
      <c r="I146" t="s">
        <v>606</v>
      </c>
      <c r="J146" t="s">
        <v>607</v>
      </c>
      <c r="K146" t="s">
        <v>608</v>
      </c>
      <c r="L146">
        <v>1368</v>
      </c>
      <c r="N146">
        <v>1011</v>
      </c>
      <c r="O146" t="s">
        <v>453</v>
      </c>
      <c r="P146" t="s">
        <v>453</v>
      </c>
      <c r="Q146">
        <v>1</v>
      </c>
      <c r="X146">
        <v>0.34</v>
      </c>
      <c r="Y146">
        <v>0</v>
      </c>
      <c r="Z146">
        <v>110.68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244</v>
      </c>
      <c r="AG146">
        <v>0.11509000000000001</v>
      </c>
      <c r="AH146">
        <v>2</v>
      </c>
      <c r="AI146">
        <v>44572330</v>
      </c>
      <c r="AJ146">
        <v>144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ROW(Source!A142)</f>
        <v>142</v>
      </c>
      <c r="B147">
        <v>44572345</v>
      </c>
      <c r="C147">
        <v>44572320</v>
      </c>
      <c r="D147">
        <v>13905491</v>
      </c>
      <c r="E147">
        <v>1</v>
      </c>
      <c r="F147">
        <v>1</v>
      </c>
      <c r="G147">
        <v>1</v>
      </c>
      <c r="H147">
        <v>3</v>
      </c>
      <c r="I147" t="s">
        <v>609</v>
      </c>
      <c r="J147" t="s">
        <v>610</v>
      </c>
      <c r="K147" t="s">
        <v>611</v>
      </c>
      <c r="L147">
        <v>1339</v>
      </c>
      <c r="N147">
        <v>1007</v>
      </c>
      <c r="O147" t="s">
        <v>283</v>
      </c>
      <c r="P147" t="s">
        <v>283</v>
      </c>
      <c r="Q147">
        <v>1</v>
      </c>
      <c r="X147">
        <v>5.62</v>
      </c>
      <c r="Y147">
        <v>6.85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5.62</v>
      </c>
      <c r="AH147">
        <v>2</v>
      </c>
      <c r="AI147">
        <v>44572331</v>
      </c>
      <c r="AJ147">
        <v>145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ROW(Source!A142)</f>
        <v>142</v>
      </c>
      <c r="B148">
        <v>44572346</v>
      </c>
      <c r="C148">
        <v>44572320</v>
      </c>
      <c r="D148">
        <v>13907179</v>
      </c>
      <c r="E148">
        <v>1</v>
      </c>
      <c r="F148">
        <v>1</v>
      </c>
      <c r="G148">
        <v>1</v>
      </c>
      <c r="H148">
        <v>3</v>
      </c>
      <c r="I148" t="s">
        <v>612</v>
      </c>
      <c r="J148" t="s">
        <v>613</v>
      </c>
      <c r="K148" t="s">
        <v>614</v>
      </c>
      <c r="L148">
        <v>1348</v>
      </c>
      <c r="N148">
        <v>1009</v>
      </c>
      <c r="O148" t="s">
        <v>322</v>
      </c>
      <c r="P148" t="s">
        <v>322</v>
      </c>
      <c r="Q148">
        <v>1000</v>
      </c>
      <c r="X148">
        <v>0.0368</v>
      </c>
      <c r="Y148">
        <v>15035.48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0.0368</v>
      </c>
      <c r="AH148">
        <v>2</v>
      </c>
      <c r="AI148">
        <v>44572332</v>
      </c>
      <c r="AJ148">
        <v>146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ROW(Source!A142)</f>
        <v>142</v>
      </c>
      <c r="B149">
        <v>44572347</v>
      </c>
      <c r="C149">
        <v>44572320</v>
      </c>
      <c r="D149">
        <v>13907255</v>
      </c>
      <c r="E149">
        <v>1</v>
      </c>
      <c r="F149">
        <v>1</v>
      </c>
      <c r="G149">
        <v>1</v>
      </c>
      <c r="H149">
        <v>3</v>
      </c>
      <c r="I149" t="s">
        <v>615</v>
      </c>
      <c r="J149" t="s">
        <v>616</v>
      </c>
      <c r="K149" t="s">
        <v>617</v>
      </c>
      <c r="L149">
        <v>1339</v>
      </c>
      <c r="N149">
        <v>1007</v>
      </c>
      <c r="O149" t="s">
        <v>283</v>
      </c>
      <c r="P149" t="s">
        <v>283</v>
      </c>
      <c r="Q149">
        <v>1</v>
      </c>
      <c r="X149">
        <v>1.88</v>
      </c>
      <c r="Y149">
        <v>18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1.88</v>
      </c>
      <c r="AH149">
        <v>2</v>
      </c>
      <c r="AI149">
        <v>44572333</v>
      </c>
      <c r="AJ149">
        <v>147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ROW(Source!A142)</f>
        <v>142</v>
      </c>
      <c r="B150">
        <v>44572348</v>
      </c>
      <c r="C150">
        <v>44572320</v>
      </c>
      <c r="D150">
        <v>13924047</v>
      </c>
      <c r="E150">
        <v>1</v>
      </c>
      <c r="F150">
        <v>1</v>
      </c>
      <c r="G150">
        <v>1</v>
      </c>
      <c r="H150">
        <v>3</v>
      </c>
      <c r="I150" t="s">
        <v>733</v>
      </c>
      <c r="J150" t="s">
        <v>734</v>
      </c>
      <c r="K150" t="s">
        <v>735</v>
      </c>
      <c r="L150">
        <v>1301</v>
      </c>
      <c r="N150">
        <v>1003</v>
      </c>
      <c r="O150" t="s">
        <v>339</v>
      </c>
      <c r="P150" t="s">
        <v>339</v>
      </c>
      <c r="Q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0</v>
      </c>
      <c r="AG150">
        <v>0</v>
      </c>
      <c r="AH150">
        <v>3</v>
      </c>
      <c r="AI150">
        <v>-1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ROW(Source!A142)</f>
        <v>142</v>
      </c>
      <c r="B151">
        <v>44572349</v>
      </c>
      <c r="C151">
        <v>44572320</v>
      </c>
      <c r="D151">
        <v>13928781</v>
      </c>
      <c r="E151">
        <v>1</v>
      </c>
      <c r="F151">
        <v>1</v>
      </c>
      <c r="G151">
        <v>1</v>
      </c>
      <c r="H151">
        <v>3</v>
      </c>
      <c r="I151" t="s">
        <v>727</v>
      </c>
      <c r="J151" t="s">
        <v>728</v>
      </c>
      <c r="K151" t="s">
        <v>729</v>
      </c>
      <c r="L151">
        <v>1348</v>
      </c>
      <c r="N151">
        <v>1009</v>
      </c>
      <c r="O151" t="s">
        <v>322</v>
      </c>
      <c r="P151" t="s">
        <v>322</v>
      </c>
      <c r="Q151">
        <v>1000</v>
      </c>
      <c r="X151">
        <v>0</v>
      </c>
      <c r="Y151">
        <v>208000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G151">
        <v>0</v>
      </c>
      <c r="AH151">
        <v>3</v>
      </c>
      <c r="AI151">
        <v>-1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ROW(Source!A142)</f>
        <v>142</v>
      </c>
      <c r="B152">
        <v>44572350</v>
      </c>
      <c r="C152">
        <v>44572320</v>
      </c>
      <c r="D152">
        <v>13984221</v>
      </c>
      <c r="E152">
        <v>1</v>
      </c>
      <c r="F152">
        <v>1</v>
      </c>
      <c r="G152">
        <v>1</v>
      </c>
      <c r="H152">
        <v>3</v>
      </c>
      <c r="I152" t="s">
        <v>730</v>
      </c>
      <c r="J152" t="s">
        <v>731</v>
      </c>
      <c r="K152" t="s">
        <v>732</v>
      </c>
      <c r="L152">
        <v>1348</v>
      </c>
      <c r="N152">
        <v>1009</v>
      </c>
      <c r="O152" t="s">
        <v>322</v>
      </c>
      <c r="P152" t="s">
        <v>322</v>
      </c>
      <c r="Q152">
        <v>1000</v>
      </c>
      <c r="X152">
        <v>0</v>
      </c>
      <c r="Y152">
        <v>382.4</v>
      </c>
      <c r="Z152">
        <v>0</v>
      </c>
      <c r="AA152">
        <v>0</v>
      </c>
      <c r="AB152">
        <v>0</v>
      </c>
      <c r="AC152">
        <v>1</v>
      </c>
      <c r="AD152">
        <v>0</v>
      </c>
      <c r="AE152">
        <v>0</v>
      </c>
      <c r="AG152">
        <v>0</v>
      </c>
      <c r="AH152">
        <v>3</v>
      </c>
      <c r="AI152">
        <v>-1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ROW(Source!A142)</f>
        <v>142</v>
      </c>
      <c r="B153">
        <v>44572351</v>
      </c>
      <c r="C153">
        <v>44572320</v>
      </c>
      <c r="D153">
        <v>13985061</v>
      </c>
      <c r="E153">
        <v>1</v>
      </c>
      <c r="F153">
        <v>1</v>
      </c>
      <c r="G153">
        <v>1</v>
      </c>
      <c r="H153">
        <v>3</v>
      </c>
      <c r="I153" t="s">
        <v>489</v>
      </c>
      <c r="J153" t="s">
        <v>490</v>
      </c>
      <c r="K153" t="s">
        <v>491</v>
      </c>
      <c r="L153">
        <v>1339</v>
      </c>
      <c r="N153">
        <v>1007</v>
      </c>
      <c r="O153" t="s">
        <v>283</v>
      </c>
      <c r="P153" t="s">
        <v>283</v>
      </c>
      <c r="Q153">
        <v>1</v>
      </c>
      <c r="X153">
        <v>12.44</v>
      </c>
      <c r="Y153">
        <v>6.3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12.44</v>
      </c>
      <c r="AH153">
        <v>2</v>
      </c>
      <c r="AI153">
        <v>44572334</v>
      </c>
      <c r="AJ153">
        <v>148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ROW(Source!A188)</f>
        <v>188</v>
      </c>
      <c r="B154">
        <v>44578944</v>
      </c>
      <c r="C154">
        <v>44578938</v>
      </c>
      <c r="D154">
        <v>9924372</v>
      </c>
      <c r="E154">
        <v>1</v>
      </c>
      <c r="F154">
        <v>1</v>
      </c>
      <c r="G154">
        <v>1</v>
      </c>
      <c r="H154">
        <v>1</v>
      </c>
      <c r="I154" t="s">
        <v>618</v>
      </c>
      <c r="K154" t="s">
        <v>619</v>
      </c>
      <c r="L154">
        <v>1191</v>
      </c>
      <c r="N154">
        <v>1013</v>
      </c>
      <c r="O154" t="s">
        <v>445</v>
      </c>
      <c r="P154" t="s">
        <v>445</v>
      </c>
      <c r="Q154">
        <v>1</v>
      </c>
      <c r="X154">
        <v>179.8</v>
      </c>
      <c r="Y154">
        <v>0</v>
      </c>
      <c r="Z154">
        <v>0</v>
      </c>
      <c r="AA154">
        <v>0</v>
      </c>
      <c r="AB154">
        <v>8.08</v>
      </c>
      <c r="AC154">
        <v>0</v>
      </c>
      <c r="AD154">
        <v>1</v>
      </c>
      <c r="AE154">
        <v>1</v>
      </c>
      <c r="AF154" t="s">
        <v>86</v>
      </c>
      <c r="AG154">
        <v>248.124</v>
      </c>
      <c r="AH154">
        <v>2</v>
      </c>
      <c r="AI154">
        <v>44578939</v>
      </c>
      <c r="AJ154">
        <v>149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ROW(Source!A188)</f>
        <v>188</v>
      </c>
      <c r="B155">
        <v>44578945</v>
      </c>
      <c r="C155">
        <v>44578938</v>
      </c>
      <c r="D155">
        <v>121548</v>
      </c>
      <c r="E155">
        <v>1</v>
      </c>
      <c r="F155">
        <v>1</v>
      </c>
      <c r="G155">
        <v>1</v>
      </c>
      <c r="H155">
        <v>1</v>
      </c>
      <c r="I155" t="s">
        <v>28</v>
      </c>
      <c r="K155" t="s">
        <v>446</v>
      </c>
      <c r="L155">
        <v>608254</v>
      </c>
      <c r="N155">
        <v>1013</v>
      </c>
      <c r="O155" t="s">
        <v>447</v>
      </c>
      <c r="P155" t="s">
        <v>447</v>
      </c>
      <c r="Q155">
        <v>1</v>
      </c>
      <c r="X155">
        <v>45.63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2</v>
      </c>
      <c r="AF155" t="s">
        <v>86</v>
      </c>
      <c r="AG155">
        <v>62.96939999999999</v>
      </c>
      <c r="AH155">
        <v>2</v>
      </c>
      <c r="AI155">
        <v>44578940</v>
      </c>
      <c r="AJ155">
        <v>150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ROW(Source!A188)</f>
        <v>188</v>
      </c>
      <c r="B156">
        <v>44578946</v>
      </c>
      <c r="C156">
        <v>44578938</v>
      </c>
      <c r="D156">
        <v>13902095</v>
      </c>
      <c r="E156">
        <v>1</v>
      </c>
      <c r="F156">
        <v>1</v>
      </c>
      <c r="G156">
        <v>1</v>
      </c>
      <c r="H156">
        <v>2</v>
      </c>
      <c r="I156" t="s">
        <v>459</v>
      </c>
      <c r="J156" t="s">
        <v>460</v>
      </c>
      <c r="K156" t="s">
        <v>461</v>
      </c>
      <c r="L156">
        <v>1368</v>
      </c>
      <c r="N156">
        <v>1011</v>
      </c>
      <c r="O156" t="s">
        <v>453</v>
      </c>
      <c r="P156" t="s">
        <v>453</v>
      </c>
      <c r="Q156">
        <v>1</v>
      </c>
      <c r="X156">
        <v>44.08</v>
      </c>
      <c r="Y156">
        <v>0</v>
      </c>
      <c r="Z156">
        <v>104.34</v>
      </c>
      <c r="AA156">
        <v>9.78</v>
      </c>
      <c r="AB156">
        <v>0</v>
      </c>
      <c r="AC156">
        <v>0</v>
      </c>
      <c r="AD156">
        <v>1</v>
      </c>
      <c r="AE156">
        <v>0</v>
      </c>
      <c r="AF156" t="s">
        <v>86</v>
      </c>
      <c r="AG156">
        <v>60.83039999999999</v>
      </c>
      <c r="AH156">
        <v>2</v>
      </c>
      <c r="AI156">
        <v>44578941</v>
      </c>
      <c r="AJ156">
        <v>151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ROW(Source!A188)</f>
        <v>188</v>
      </c>
      <c r="B157">
        <v>44578947</v>
      </c>
      <c r="C157">
        <v>44578938</v>
      </c>
      <c r="D157">
        <v>13902478</v>
      </c>
      <c r="E157">
        <v>1</v>
      </c>
      <c r="F157">
        <v>1</v>
      </c>
      <c r="G157">
        <v>1</v>
      </c>
      <c r="H157">
        <v>2</v>
      </c>
      <c r="I157" t="s">
        <v>620</v>
      </c>
      <c r="J157" t="s">
        <v>621</v>
      </c>
      <c r="K157" t="s">
        <v>622</v>
      </c>
      <c r="L157">
        <v>1368</v>
      </c>
      <c r="N157">
        <v>1011</v>
      </c>
      <c r="O157" t="s">
        <v>453</v>
      </c>
      <c r="P157" t="s">
        <v>453</v>
      </c>
      <c r="Q157">
        <v>1</v>
      </c>
      <c r="X157">
        <v>1.55</v>
      </c>
      <c r="Y157">
        <v>0</v>
      </c>
      <c r="Z157">
        <v>128.5</v>
      </c>
      <c r="AA157">
        <v>13.12</v>
      </c>
      <c r="AB157">
        <v>0</v>
      </c>
      <c r="AC157">
        <v>0</v>
      </c>
      <c r="AD157">
        <v>1</v>
      </c>
      <c r="AE157">
        <v>0</v>
      </c>
      <c r="AF157" t="s">
        <v>86</v>
      </c>
      <c r="AG157">
        <v>2.139</v>
      </c>
      <c r="AH157">
        <v>2</v>
      </c>
      <c r="AI157">
        <v>44578942</v>
      </c>
      <c r="AJ157">
        <v>152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ROW(Source!A188)</f>
        <v>188</v>
      </c>
      <c r="B158">
        <v>44578948</v>
      </c>
      <c r="C158">
        <v>44578938</v>
      </c>
      <c r="D158">
        <v>13903845</v>
      </c>
      <c r="E158">
        <v>1</v>
      </c>
      <c r="F158">
        <v>1</v>
      </c>
      <c r="G158">
        <v>1</v>
      </c>
      <c r="H158">
        <v>2</v>
      </c>
      <c r="I158" t="s">
        <v>623</v>
      </c>
      <c r="J158" t="s">
        <v>624</v>
      </c>
      <c r="K158" t="s">
        <v>625</v>
      </c>
      <c r="L158">
        <v>1368</v>
      </c>
      <c r="N158">
        <v>1011</v>
      </c>
      <c r="O158" t="s">
        <v>453</v>
      </c>
      <c r="P158" t="s">
        <v>453</v>
      </c>
      <c r="Q158">
        <v>1</v>
      </c>
      <c r="X158">
        <v>88.16</v>
      </c>
      <c r="Y158">
        <v>0</v>
      </c>
      <c r="Z158">
        <v>2.44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86</v>
      </c>
      <c r="AG158">
        <v>121.66079999999998</v>
      </c>
      <c r="AH158">
        <v>2</v>
      </c>
      <c r="AI158">
        <v>44578943</v>
      </c>
      <c r="AJ158">
        <v>153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ROW(Source!A189)</f>
        <v>189</v>
      </c>
      <c r="B159">
        <v>44578956</v>
      </c>
      <c r="C159">
        <v>44578949</v>
      </c>
      <c r="D159">
        <v>9914874</v>
      </c>
      <c r="E159">
        <v>1</v>
      </c>
      <c r="F159">
        <v>1</v>
      </c>
      <c r="G159">
        <v>1</v>
      </c>
      <c r="H159">
        <v>1</v>
      </c>
      <c r="I159" t="s">
        <v>443</v>
      </c>
      <c r="K159" t="s">
        <v>444</v>
      </c>
      <c r="L159">
        <v>1191</v>
      </c>
      <c r="N159">
        <v>1013</v>
      </c>
      <c r="O159" t="s">
        <v>445</v>
      </c>
      <c r="P159" t="s">
        <v>445</v>
      </c>
      <c r="Q159">
        <v>1</v>
      </c>
      <c r="X159">
        <v>13.22</v>
      </c>
      <c r="Y159">
        <v>0</v>
      </c>
      <c r="Z159">
        <v>0</v>
      </c>
      <c r="AA159">
        <v>0</v>
      </c>
      <c r="AB159">
        <v>7.58</v>
      </c>
      <c r="AC159">
        <v>0</v>
      </c>
      <c r="AD159">
        <v>1</v>
      </c>
      <c r="AE159">
        <v>1</v>
      </c>
      <c r="AF159" t="s">
        <v>86</v>
      </c>
      <c r="AG159">
        <v>18.243599999999997</v>
      </c>
      <c r="AH159">
        <v>2</v>
      </c>
      <c r="AI159">
        <v>44578950</v>
      </c>
      <c r="AJ159">
        <v>154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ROW(Source!A189)</f>
        <v>189</v>
      </c>
      <c r="B160">
        <v>44578957</v>
      </c>
      <c r="C160">
        <v>44578949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28</v>
      </c>
      <c r="K160" t="s">
        <v>446</v>
      </c>
      <c r="L160">
        <v>608254</v>
      </c>
      <c r="N160">
        <v>1013</v>
      </c>
      <c r="O160" t="s">
        <v>447</v>
      </c>
      <c r="P160" t="s">
        <v>447</v>
      </c>
      <c r="Q160">
        <v>1</v>
      </c>
      <c r="X160">
        <v>3.79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F160" t="s">
        <v>86</v>
      </c>
      <c r="AG160">
        <v>5.230199999999999</v>
      </c>
      <c r="AH160">
        <v>2</v>
      </c>
      <c r="AI160">
        <v>44578951</v>
      </c>
      <c r="AJ160">
        <v>155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ROW(Source!A189)</f>
        <v>189</v>
      </c>
      <c r="B161">
        <v>44578958</v>
      </c>
      <c r="C161">
        <v>44578949</v>
      </c>
      <c r="D161">
        <v>13901684</v>
      </c>
      <c r="E161">
        <v>1</v>
      </c>
      <c r="F161">
        <v>1</v>
      </c>
      <c r="G161">
        <v>1</v>
      </c>
      <c r="H161">
        <v>2</v>
      </c>
      <c r="I161" t="s">
        <v>626</v>
      </c>
      <c r="J161" t="s">
        <v>627</v>
      </c>
      <c r="K161" t="s">
        <v>628</v>
      </c>
      <c r="L161">
        <v>1368</v>
      </c>
      <c r="N161">
        <v>1011</v>
      </c>
      <c r="O161" t="s">
        <v>453</v>
      </c>
      <c r="P161" t="s">
        <v>453</v>
      </c>
      <c r="Q161">
        <v>1</v>
      </c>
      <c r="X161">
        <v>1.39</v>
      </c>
      <c r="Y161">
        <v>0</v>
      </c>
      <c r="Z161">
        <v>79.48</v>
      </c>
      <c r="AA161">
        <v>13.12</v>
      </c>
      <c r="AB161">
        <v>0</v>
      </c>
      <c r="AC161">
        <v>0</v>
      </c>
      <c r="AD161">
        <v>1</v>
      </c>
      <c r="AE161">
        <v>0</v>
      </c>
      <c r="AF161" t="s">
        <v>86</v>
      </c>
      <c r="AG161">
        <v>1.9181999999999997</v>
      </c>
      <c r="AH161">
        <v>2</v>
      </c>
      <c r="AI161">
        <v>44578952</v>
      </c>
      <c r="AJ161">
        <v>156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ROW(Source!A189)</f>
        <v>189</v>
      </c>
      <c r="B162">
        <v>44578959</v>
      </c>
      <c r="C162">
        <v>44578949</v>
      </c>
      <c r="D162">
        <v>13902323</v>
      </c>
      <c r="E162">
        <v>1</v>
      </c>
      <c r="F162">
        <v>1</v>
      </c>
      <c r="G162">
        <v>1</v>
      </c>
      <c r="H162">
        <v>2</v>
      </c>
      <c r="I162" t="s">
        <v>629</v>
      </c>
      <c r="J162" t="s">
        <v>630</v>
      </c>
      <c r="K162" t="s">
        <v>631</v>
      </c>
      <c r="L162">
        <v>1368</v>
      </c>
      <c r="N162">
        <v>1011</v>
      </c>
      <c r="O162" t="s">
        <v>453</v>
      </c>
      <c r="P162" t="s">
        <v>453</v>
      </c>
      <c r="Q162">
        <v>1</v>
      </c>
      <c r="X162">
        <v>1.39</v>
      </c>
      <c r="Y162">
        <v>0</v>
      </c>
      <c r="Z162">
        <v>11.95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86</v>
      </c>
      <c r="AG162">
        <v>1.9181999999999997</v>
      </c>
      <c r="AH162">
        <v>2</v>
      </c>
      <c r="AI162">
        <v>44578953</v>
      </c>
      <c r="AJ162">
        <v>157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ROW(Source!A189)</f>
        <v>189</v>
      </c>
      <c r="B163">
        <v>44578960</v>
      </c>
      <c r="C163">
        <v>44578949</v>
      </c>
      <c r="D163">
        <v>13902478</v>
      </c>
      <c r="E163">
        <v>1</v>
      </c>
      <c r="F163">
        <v>1</v>
      </c>
      <c r="G163">
        <v>1</v>
      </c>
      <c r="H163">
        <v>2</v>
      </c>
      <c r="I163" t="s">
        <v>620</v>
      </c>
      <c r="J163" t="s">
        <v>621</v>
      </c>
      <c r="K163" t="s">
        <v>622</v>
      </c>
      <c r="L163">
        <v>1368</v>
      </c>
      <c r="N163">
        <v>1011</v>
      </c>
      <c r="O163" t="s">
        <v>453</v>
      </c>
      <c r="P163" t="s">
        <v>453</v>
      </c>
      <c r="Q163">
        <v>1</v>
      </c>
      <c r="X163">
        <v>1.94</v>
      </c>
      <c r="Y163">
        <v>0</v>
      </c>
      <c r="Z163">
        <v>128.5</v>
      </c>
      <c r="AA163">
        <v>13.12</v>
      </c>
      <c r="AB163">
        <v>0</v>
      </c>
      <c r="AC163">
        <v>0</v>
      </c>
      <c r="AD163">
        <v>1</v>
      </c>
      <c r="AE163">
        <v>0</v>
      </c>
      <c r="AF163" t="s">
        <v>86</v>
      </c>
      <c r="AG163">
        <v>2.6771999999999996</v>
      </c>
      <c r="AH163">
        <v>2</v>
      </c>
      <c r="AI163">
        <v>44578954</v>
      </c>
      <c r="AJ163">
        <v>158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ROW(Source!A189)</f>
        <v>189</v>
      </c>
      <c r="B164">
        <v>44578961</v>
      </c>
      <c r="C164">
        <v>44578949</v>
      </c>
      <c r="D164">
        <v>13902589</v>
      </c>
      <c r="E164">
        <v>1</v>
      </c>
      <c r="F164">
        <v>1</v>
      </c>
      <c r="G164">
        <v>1</v>
      </c>
      <c r="H164">
        <v>2</v>
      </c>
      <c r="I164" t="s">
        <v>589</v>
      </c>
      <c r="J164" t="s">
        <v>590</v>
      </c>
      <c r="K164" t="s">
        <v>591</v>
      </c>
      <c r="L164">
        <v>1368</v>
      </c>
      <c r="N164">
        <v>1011</v>
      </c>
      <c r="O164" t="s">
        <v>453</v>
      </c>
      <c r="P164" t="s">
        <v>453</v>
      </c>
      <c r="Q164">
        <v>1</v>
      </c>
      <c r="X164">
        <v>0.46</v>
      </c>
      <c r="Y164">
        <v>0</v>
      </c>
      <c r="Z164">
        <v>134.79</v>
      </c>
      <c r="AA164">
        <v>11.28</v>
      </c>
      <c r="AB164">
        <v>0</v>
      </c>
      <c r="AC164">
        <v>0</v>
      </c>
      <c r="AD164">
        <v>1</v>
      </c>
      <c r="AE164">
        <v>0</v>
      </c>
      <c r="AF164" t="s">
        <v>86</v>
      </c>
      <c r="AG164">
        <v>0.6348</v>
      </c>
      <c r="AH164">
        <v>2</v>
      </c>
      <c r="AI164">
        <v>44578955</v>
      </c>
      <c r="AJ164">
        <v>159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ROW(Source!A190)</f>
        <v>190</v>
      </c>
      <c r="B165">
        <v>44578966</v>
      </c>
      <c r="C165">
        <v>44578962</v>
      </c>
      <c r="D165">
        <v>10019317</v>
      </c>
      <c r="E165">
        <v>1</v>
      </c>
      <c r="F165">
        <v>1</v>
      </c>
      <c r="G165">
        <v>1</v>
      </c>
      <c r="H165">
        <v>1</v>
      </c>
      <c r="I165" t="s">
        <v>632</v>
      </c>
      <c r="K165" t="s">
        <v>633</v>
      </c>
      <c r="L165">
        <v>1476</v>
      </c>
      <c r="N165">
        <v>1013</v>
      </c>
      <c r="O165" t="s">
        <v>634</v>
      </c>
      <c r="P165" t="s">
        <v>635</v>
      </c>
      <c r="Q165">
        <v>1</v>
      </c>
      <c r="X165">
        <v>0.5777</v>
      </c>
      <c r="Y165">
        <v>0</v>
      </c>
      <c r="Z165">
        <v>0</v>
      </c>
      <c r="AA165">
        <v>0</v>
      </c>
      <c r="AB165">
        <v>6.99</v>
      </c>
      <c r="AC165">
        <v>0</v>
      </c>
      <c r="AD165">
        <v>1</v>
      </c>
      <c r="AE165">
        <v>1</v>
      </c>
      <c r="AG165">
        <v>0.5777</v>
      </c>
      <c r="AH165">
        <v>2</v>
      </c>
      <c r="AI165">
        <v>44578963</v>
      </c>
      <c r="AJ165">
        <v>160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ROW(Source!A190)</f>
        <v>190</v>
      </c>
      <c r="B166">
        <v>44578967</v>
      </c>
      <c r="C166">
        <v>44578962</v>
      </c>
      <c r="D166">
        <v>121548</v>
      </c>
      <c r="E166">
        <v>1</v>
      </c>
      <c r="F166">
        <v>1</v>
      </c>
      <c r="G166">
        <v>1</v>
      </c>
      <c r="H166">
        <v>1</v>
      </c>
      <c r="I166" t="s">
        <v>28</v>
      </c>
      <c r="K166" t="s">
        <v>446</v>
      </c>
      <c r="L166">
        <v>608254</v>
      </c>
      <c r="N166">
        <v>1013</v>
      </c>
      <c r="O166" t="s">
        <v>447</v>
      </c>
      <c r="P166" t="s">
        <v>447</v>
      </c>
      <c r="Q166">
        <v>1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G166">
        <v>0</v>
      </c>
      <c r="AH166">
        <v>2</v>
      </c>
      <c r="AI166">
        <v>44578964</v>
      </c>
      <c r="AJ166">
        <v>161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ROW(Source!A190)</f>
        <v>190</v>
      </c>
      <c r="B167">
        <v>44578968</v>
      </c>
      <c r="C167">
        <v>44578962</v>
      </c>
      <c r="D167">
        <v>13904234</v>
      </c>
      <c r="E167">
        <v>1</v>
      </c>
      <c r="F167">
        <v>1</v>
      </c>
      <c r="G167">
        <v>1</v>
      </c>
      <c r="H167">
        <v>2</v>
      </c>
      <c r="I167" t="s">
        <v>606</v>
      </c>
      <c r="J167" t="s">
        <v>607</v>
      </c>
      <c r="K167" t="s">
        <v>608</v>
      </c>
      <c r="L167">
        <v>1368</v>
      </c>
      <c r="N167">
        <v>1011</v>
      </c>
      <c r="O167" t="s">
        <v>453</v>
      </c>
      <c r="P167" t="s">
        <v>453</v>
      </c>
      <c r="Q167">
        <v>1</v>
      </c>
      <c r="X167">
        <v>0.29</v>
      </c>
      <c r="Y167">
        <v>0</v>
      </c>
      <c r="Z167">
        <v>110.68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0.29</v>
      </c>
      <c r="AH167">
        <v>2</v>
      </c>
      <c r="AI167">
        <v>44578965</v>
      </c>
      <c r="AJ167">
        <v>162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ROW(Source!A192)</f>
        <v>192</v>
      </c>
      <c r="B168">
        <v>44578983</v>
      </c>
      <c r="C168">
        <v>44578970</v>
      </c>
      <c r="D168">
        <v>9915124</v>
      </c>
      <c r="E168">
        <v>1</v>
      </c>
      <c r="F168">
        <v>1</v>
      </c>
      <c r="G168">
        <v>1</v>
      </c>
      <c r="H168">
        <v>1</v>
      </c>
      <c r="I168" t="s">
        <v>636</v>
      </c>
      <c r="K168" t="s">
        <v>637</v>
      </c>
      <c r="L168">
        <v>1191</v>
      </c>
      <c r="N168">
        <v>1013</v>
      </c>
      <c r="O168" t="s">
        <v>445</v>
      </c>
      <c r="P168" t="s">
        <v>445</v>
      </c>
      <c r="Q168">
        <v>1</v>
      </c>
      <c r="X168">
        <v>36.96</v>
      </c>
      <c r="Y168">
        <v>0</v>
      </c>
      <c r="Z168">
        <v>0</v>
      </c>
      <c r="AA168">
        <v>0</v>
      </c>
      <c r="AB168">
        <v>7.94</v>
      </c>
      <c r="AC168">
        <v>0</v>
      </c>
      <c r="AD168">
        <v>1</v>
      </c>
      <c r="AE168">
        <v>1</v>
      </c>
      <c r="AF168" t="s">
        <v>86</v>
      </c>
      <c r="AG168">
        <v>51.004799999999996</v>
      </c>
      <c r="AH168">
        <v>2</v>
      </c>
      <c r="AI168">
        <v>44578971</v>
      </c>
      <c r="AJ168">
        <v>163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ROW(Source!A192)</f>
        <v>192</v>
      </c>
      <c r="B169">
        <v>44578984</v>
      </c>
      <c r="C169">
        <v>44578970</v>
      </c>
      <c r="D169">
        <v>121548</v>
      </c>
      <c r="E169">
        <v>1</v>
      </c>
      <c r="F169">
        <v>1</v>
      </c>
      <c r="G169">
        <v>1</v>
      </c>
      <c r="H169">
        <v>1</v>
      </c>
      <c r="I169" t="s">
        <v>28</v>
      </c>
      <c r="K169" t="s">
        <v>446</v>
      </c>
      <c r="L169">
        <v>608254</v>
      </c>
      <c r="N169">
        <v>1013</v>
      </c>
      <c r="O169" t="s">
        <v>447</v>
      </c>
      <c r="P169" t="s">
        <v>447</v>
      </c>
      <c r="Q169">
        <v>1</v>
      </c>
      <c r="X169">
        <v>36.24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2</v>
      </c>
      <c r="AF169" t="s">
        <v>86</v>
      </c>
      <c r="AG169">
        <v>50.0112</v>
      </c>
      <c r="AH169">
        <v>2</v>
      </c>
      <c r="AI169">
        <v>44578972</v>
      </c>
      <c r="AJ169">
        <v>164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ROW(Source!A192)</f>
        <v>192</v>
      </c>
      <c r="B170">
        <v>44578985</v>
      </c>
      <c r="C170">
        <v>44578970</v>
      </c>
      <c r="D170">
        <v>13901881</v>
      </c>
      <c r="E170">
        <v>1</v>
      </c>
      <c r="F170">
        <v>1</v>
      </c>
      <c r="G170">
        <v>1</v>
      </c>
      <c r="H170">
        <v>2</v>
      </c>
      <c r="I170" t="s">
        <v>638</v>
      </c>
      <c r="J170" t="s">
        <v>639</v>
      </c>
      <c r="K170" t="s">
        <v>640</v>
      </c>
      <c r="L170">
        <v>1368</v>
      </c>
      <c r="N170">
        <v>1011</v>
      </c>
      <c r="O170" t="s">
        <v>453</v>
      </c>
      <c r="P170" t="s">
        <v>453</v>
      </c>
      <c r="Q170">
        <v>1</v>
      </c>
      <c r="X170">
        <v>3.98</v>
      </c>
      <c r="Y170">
        <v>0</v>
      </c>
      <c r="Z170">
        <v>108.42</v>
      </c>
      <c r="AA170">
        <v>9.78</v>
      </c>
      <c r="AB170">
        <v>0</v>
      </c>
      <c r="AC170">
        <v>0</v>
      </c>
      <c r="AD170">
        <v>1</v>
      </c>
      <c r="AE170">
        <v>0</v>
      </c>
      <c r="AF170" t="s">
        <v>86</v>
      </c>
      <c r="AG170">
        <v>5.4924</v>
      </c>
      <c r="AH170">
        <v>2</v>
      </c>
      <c r="AI170">
        <v>44578973</v>
      </c>
      <c r="AJ170">
        <v>165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ROW(Source!A192)</f>
        <v>192</v>
      </c>
      <c r="B171">
        <v>44578986</v>
      </c>
      <c r="C171">
        <v>44578970</v>
      </c>
      <c r="D171">
        <v>13902217</v>
      </c>
      <c r="E171">
        <v>1</v>
      </c>
      <c r="F171">
        <v>1</v>
      </c>
      <c r="G171">
        <v>1</v>
      </c>
      <c r="H171">
        <v>2</v>
      </c>
      <c r="I171" t="s">
        <v>641</v>
      </c>
      <c r="J171" t="s">
        <v>642</v>
      </c>
      <c r="K171" t="s">
        <v>643</v>
      </c>
      <c r="L171">
        <v>1368</v>
      </c>
      <c r="N171">
        <v>1011</v>
      </c>
      <c r="O171" t="s">
        <v>453</v>
      </c>
      <c r="P171" t="s">
        <v>453</v>
      </c>
      <c r="Q171">
        <v>1</v>
      </c>
      <c r="X171">
        <v>2.59</v>
      </c>
      <c r="Y171">
        <v>0</v>
      </c>
      <c r="Z171">
        <v>84.27</v>
      </c>
      <c r="AA171">
        <v>13.12</v>
      </c>
      <c r="AB171">
        <v>0</v>
      </c>
      <c r="AC171">
        <v>0</v>
      </c>
      <c r="AD171">
        <v>1</v>
      </c>
      <c r="AE171">
        <v>0</v>
      </c>
      <c r="AF171" t="s">
        <v>86</v>
      </c>
      <c r="AG171">
        <v>3.5741999999999994</v>
      </c>
      <c r="AH171">
        <v>2</v>
      </c>
      <c r="AI171">
        <v>44578974</v>
      </c>
      <c r="AJ171">
        <v>166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ROW(Source!A192)</f>
        <v>192</v>
      </c>
      <c r="B172">
        <v>44578987</v>
      </c>
      <c r="C172">
        <v>44578970</v>
      </c>
      <c r="D172">
        <v>13902478</v>
      </c>
      <c r="E172">
        <v>1</v>
      </c>
      <c r="F172">
        <v>1</v>
      </c>
      <c r="G172">
        <v>1</v>
      </c>
      <c r="H172">
        <v>2</v>
      </c>
      <c r="I172" t="s">
        <v>620</v>
      </c>
      <c r="J172" t="s">
        <v>621</v>
      </c>
      <c r="K172" t="s">
        <v>622</v>
      </c>
      <c r="L172">
        <v>1368</v>
      </c>
      <c r="N172">
        <v>1011</v>
      </c>
      <c r="O172" t="s">
        <v>453</v>
      </c>
      <c r="P172" t="s">
        <v>453</v>
      </c>
      <c r="Q172">
        <v>1</v>
      </c>
      <c r="X172">
        <v>0.41</v>
      </c>
      <c r="Y172">
        <v>0</v>
      </c>
      <c r="Z172">
        <v>128.5</v>
      </c>
      <c r="AA172">
        <v>13.12</v>
      </c>
      <c r="AB172">
        <v>0</v>
      </c>
      <c r="AC172">
        <v>0</v>
      </c>
      <c r="AD172">
        <v>1</v>
      </c>
      <c r="AE172">
        <v>0</v>
      </c>
      <c r="AF172" t="s">
        <v>86</v>
      </c>
      <c r="AG172">
        <v>0.5657999999999999</v>
      </c>
      <c r="AH172">
        <v>2</v>
      </c>
      <c r="AI172">
        <v>44578975</v>
      </c>
      <c r="AJ172">
        <v>167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ROW(Source!A192)</f>
        <v>192</v>
      </c>
      <c r="B173">
        <v>44578988</v>
      </c>
      <c r="C173">
        <v>44578970</v>
      </c>
      <c r="D173">
        <v>13902508</v>
      </c>
      <c r="E173">
        <v>1</v>
      </c>
      <c r="F173">
        <v>1</v>
      </c>
      <c r="G173">
        <v>1</v>
      </c>
      <c r="H173">
        <v>2</v>
      </c>
      <c r="I173" t="s">
        <v>644</v>
      </c>
      <c r="J173" t="s">
        <v>645</v>
      </c>
      <c r="K173" t="s">
        <v>646</v>
      </c>
      <c r="L173">
        <v>1368</v>
      </c>
      <c r="N173">
        <v>1011</v>
      </c>
      <c r="O173" t="s">
        <v>453</v>
      </c>
      <c r="P173" t="s">
        <v>453</v>
      </c>
      <c r="Q173">
        <v>1</v>
      </c>
      <c r="X173">
        <v>7.87</v>
      </c>
      <c r="Y173">
        <v>0</v>
      </c>
      <c r="Z173">
        <v>83.69</v>
      </c>
      <c r="AA173">
        <v>11.28</v>
      </c>
      <c r="AB173">
        <v>0</v>
      </c>
      <c r="AC173">
        <v>0</v>
      </c>
      <c r="AD173">
        <v>1</v>
      </c>
      <c r="AE173">
        <v>0</v>
      </c>
      <c r="AF173" t="s">
        <v>86</v>
      </c>
      <c r="AG173">
        <v>10.8606</v>
      </c>
      <c r="AH173">
        <v>2</v>
      </c>
      <c r="AI173">
        <v>44578976</v>
      </c>
      <c r="AJ173">
        <v>168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ROW(Source!A192)</f>
        <v>192</v>
      </c>
      <c r="B174">
        <v>44578989</v>
      </c>
      <c r="C174">
        <v>44578970</v>
      </c>
      <c r="D174">
        <v>13902509</v>
      </c>
      <c r="E174">
        <v>1</v>
      </c>
      <c r="F174">
        <v>1</v>
      </c>
      <c r="G174">
        <v>1</v>
      </c>
      <c r="H174">
        <v>2</v>
      </c>
      <c r="I174" t="s">
        <v>647</v>
      </c>
      <c r="J174" t="s">
        <v>648</v>
      </c>
      <c r="K174" t="s">
        <v>649</v>
      </c>
      <c r="L174">
        <v>1368</v>
      </c>
      <c r="N174">
        <v>1011</v>
      </c>
      <c r="O174" t="s">
        <v>453</v>
      </c>
      <c r="P174" t="s">
        <v>453</v>
      </c>
      <c r="Q174">
        <v>1</v>
      </c>
      <c r="X174">
        <v>17.78</v>
      </c>
      <c r="Y174">
        <v>0</v>
      </c>
      <c r="Z174">
        <v>140.39</v>
      </c>
      <c r="AA174">
        <v>14</v>
      </c>
      <c r="AB174">
        <v>0</v>
      </c>
      <c r="AC174">
        <v>0</v>
      </c>
      <c r="AD174">
        <v>1</v>
      </c>
      <c r="AE174">
        <v>0</v>
      </c>
      <c r="AF174" t="s">
        <v>86</v>
      </c>
      <c r="AG174">
        <v>24.536399999999997</v>
      </c>
      <c r="AH174">
        <v>2</v>
      </c>
      <c r="AI174">
        <v>44578977</v>
      </c>
      <c r="AJ174">
        <v>169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ROW(Source!A192)</f>
        <v>192</v>
      </c>
      <c r="B175">
        <v>44578990</v>
      </c>
      <c r="C175">
        <v>44578970</v>
      </c>
      <c r="D175">
        <v>13902589</v>
      </c>
      <c r="E175">
        <v>1</v>
      </c>
      <c r="F175">
        <v>1</v>
      </c>
      <c r="G175">
        <v>1</v>
      </c>
      <c r="H175">
        <v>2</v>
      </c>
      <c r="I175" t="s">
        <v>589</v>
      </c>
      <c r="J175" t="s">
        <v>590</v>
      </c>
      <c r="K175" t="s">
        <v>591</v>
      </c>
      <c r="L175">
        <v>1368</v>
      </c>
      <c r="N175">
        <v>1011</v>
      </c>
      <c r="O175" t="s">
        <v>453</v>
      </c>
      <c r="P175" t="s">
        <v>453</v>
      </c>
      <c r="Q175">
        <v>1</v>
      </c>
      <c r="X175">
        <v>2.96</v>
      </c>
      <c r="Y175">
        <v>0</v>
      </c>
      <c r="Z175">
        <v>134.79</v>
      </c>
      <c r="AA175">
        <v>11.28</v>
      </c>
      <c r="AB175">
        <v>0</v>
      </c>
      <c r="AC175">
        <v>0</v>
      </c>
      <c r="AD175">
        <v>1</v>
      </c>
      <c r="AE175">
        <v>0</v>
      </c>
      <c r="AF175" t="s">
        <v>86</v>
      </c>
      <c r="AG175">
        <v>4.0847999999999995</v>
      </c>
      <c r="AH175">
        <v>2</v>
      </c>
      <c r="AI175">
        <v>44578978</v>
      </c>
      <c r="AJ175">
        <v>170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ROW(Source!A192)</f>
        <v>192</v>
      </c>
      <c r="B176">
        <v>44578991</v>
      </c>
      <c r="C176">
        <v>44578970</v>
      </c>
      <c r="D176">
        <v>13902601</v>
      </c>
      <c r="E176">
        <v>1</v>
      </c>
      <c r="F176">
        <v>1</v>
      </c>
      <c r="G176">
        <v>1</v>
      </c>
      <c r="H176">
        <v>2</v>
      </c>
      <c r="I176" t="s">
        <v>650</v>
      </c>
      <c r="J176" t="s">
        <v>651</v>
      </c>
      <c r="K176" t="s">
        <v>652</v>
      </c>
      <c r="L176">
        <v>1368</v>
      </c>
      <c r="N176">
        <v>1011</v>
      </c>
      <c r="O176" t="s">
        <v>453</v>
      </c>
      <c r="P176" t="s">
        <v>453</v>
      </c>
      <c r="Q176">
        <v>1</v>
      </c>
      <c r="X176">
        <v>0.65</v>
      </c>
      <c r="Y176">
        <v>0</v>
      </c>
      <c r="Z176">
        <v>135.94</v>
      </c>
      <c r="AA176">
        <v>13.12</v>
      </c>
      <c r="AB176">
        <v>0</v>
      </c>
      <c r="AC176">
        <v>0</v>
      </c>
      <c r="AD176">
        <v>1</v>
      </c>
      <c r="AE176">
        <v>0</v>
      </c>
      <c r="AF176" t="s">
        <v>86</v>
      </c>
      <c r="AG176">
        <v>0.8969999999999999</v>
      </c>
      <c r="AH176">
        <v>2</v>
      </c>
      <c r="AI176">
        <v>44578979</v>
      </c>
      <c r="AJ176">
        <v>171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ROW(Source!A192)</f>
        <v>192</v>
      </c>
      <c r="B177">
        <v>44578992</v>
      </c>
      <c r="C177">
        <v>44578970</v>
      </c>
      <c r="D177">
        <v>13984275</v>
      </c>
      <c r="E177">
        <v>1</v>
      </c>
      <c r="F177">
        <v>1</v>
      </c>
      <c r="G177">
        <v>1</v>
      </c>
      <c r="H177">
        <v>3</v>
      </c>
      <c r="I177" t="s">
        <v>289</v>
      </c>
      <c r="J177" t="s">
        <v>291</v>
      </c>
      <c r="K177" t="s">
        <v>290</v>
      </c>
      <c r="L177">
        <v>1339</v>
      </c>
      <c r="N177">
        <v>1007</v>
      </c>
      <c r="O177" t="s">
        <v>283</v>
      </c>
      <c r="P177" t="s">
        <v>283</v>
      </c>
      <c r="Q177">
        <v>1</v>
      </c>
      <c r="X177">
        <v>15</v>
      </c>
      <c r="Y177">
        <v>312.47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15</v>
      </c>
      <c r="AH177">
        <v>2</v>
      </c>
      <c r="AI177">
        <v>44578980</v>
      </c>
      <c r="AJ177">
        <v>172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ROW(Source!A192)</f>
        <v>192</v>
      </c>
      <c r="B178">
        <v>44578993</v>
      </c>
      <c r="C178">
        <v>44578970</v>
      </c>
      <c r="D178">
        <v>13984277</v>
      </c>
      <c r="E178">
        <v>1</v>
      </c>
      <c r="F178">
        <v>1</v>
      </c>
      <c r="G178">
        <v>1</v>
      </c>
      <c r="H178">
        <v>3</v>
      </c>
      <c r="I178" t="s">
        <v>281</v>
      </c>
      <c r="J178" t="s">
        <v>284</v>
      </c>
      <c r="K178" t="s">
        <v>282</v>
      </c>
      <c r="L178">
        <v>1339</v>
      </c>
      <c r="N178">
        <v>1007</v>
      </c>
      <c r="O178" t="s">
        <v>283</v>
      </c>
      <c r="P178" t="s">
        <v>283</v>
      </c>
      <c r="Q178">
        <v>1</v>
      </c>
      <c r="X178">
        <v>189</v>
      </c>
      <c r="Y178">
        <v>199.6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189</v>
      </c>
      <c r="AH178">
        <v>2</v>
      </c>
      <c r="AI178">
        <v>44578981</v>
      </c>
      <c r="AJ178">
        <v>173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ROW(Source!A192)</f>
        <v>192</v>
      </c>
      <c r="B179">
        <v>44578994</v>
      </c>
      <c r="C179">
        <v>44578970</v>
      </c>
      <c r="D179">
        <v>13985061</v>
      </c>
      <c r="E179">
        <v>1</v>
      </c>
      <c r="F179">
        <v>1</v>
      </c>
      <c r="G179">
        <v>1</v>
      </c>
      <c r="H179">
        <v>3</v>
      </c>
      <c r="I179" t="s">
        <v>489</v>
      </c>
      <c r="J179" t="s">
        <v>490</v>
      </c>
      <c r="K179" t="s">
        <v>491</v>
      </c>
      <c r="L179">
        <v>1339</v>
      </c>
      <c r="N179">
        <v>1007</v>
      </c>
      <c r="O179" t="s">
        <v>283</v>
      </c>
      <c r="P179" t="s">
        <v>283</v>
      </c>
      <c r="Q179">
        <v>1</v>
      </c>
      <c r="X179">
        <v>30</v>
      </c>
      <c r="Y179">
        <v>6.3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30</v>
      </c>
      <c r="AH179">
        <v>2</v>
      </c>
      <c r="AI179">
        <v>44578982</v>
      </c>
      <c r="AJ179">
        <v>174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ROW(Source!A195)</f>
        <v>195</v>
      </c>
      <c r="B180">
        <v>44579003</v>
      </c>
      <c r="C180">
        <v>44578997</v>
      </c>
      <c r="D180">
        <v>121548</v>
      </c>
      <c r="E180">
        <v>1</v>
      </c>
      <c r="F180">
        <v>1</v>
      </c>
      <c r="G180">
        <v>1</v>
      </c>
      <c r="H180">
        <v>1</v>
      </c>
      <c r="I180" t="s">
        <v>28</v>
      </c>
      <c r="K180" t="s">
        <v>446</v>
      </c>
      <c r="L180">
        <v>608254</v>
      </c>
      <c r="N180">
        <v>1013</v>
      </c>
      <c r="O180" t="s">
        <v>447</v>
      </c>
      <c r="P180" t="s">
        <v>447</v>
      </c>
      <c r="Q180">
        <v>1</v>
      </c>
      <c r="X180">
        <v>2.51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2</v>
      </c>
      <c r="AF180" t="s">
        <v>297</v>
      </c>
      <c r="AG180">
        <v>17.318999999999996</v>
      </c>
      <c r="AH180">
        <v>2</v>
      </c>
      <c r="AI180">
        <v>44578998</v>
      </c>
      <c r="AJ180">
        <v>175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ROW(Source!A195)</f>
        <v>195</v>
      </c>
      <c r="B181">
        <v>44579004</v>
      </c>
      <c r="C181">
        <v>44578997</v>
      </c>
      <c r="D181">
        <v>13901881</v>
      </c>
      <c r="E181">
        <v>1</v>
      </c>
      <c r="F181">
        <v>1</v>
      </c>
      <c r="G181">
        <v>1</v>
      </c>
      <c r="H181">
        <v>2</v>
      </c>
      <c r="I181" t="s">
        <v>638</v>
      </c>
      <c r="J181" t="s">
        <v>639</v>
      </c>
      <c r="K181" t="s">
        <v>640</v>
      </c>
      <c r="L181">
        <v>1368</v>
      </c>
      <c r="N181">
        <v>1011</v>
      </c>
      <c r="O181" t="s">
        <v>453</v>
      </c>
      <c r="P181" t="s">
        <v>453</v>
      </c>
      <c r="Q181">
        <v>1</v>
      </c>
      <c r="X181">
        <v>0.83</v>
      </c>
      <c r="Y181">
        <v>0</v>
      </c>
      <c r="Z181">
        <v>108.42</v>
      </c>
      <c r="AA181">
        <v>9.78</v>
      </c>
      <c r="AB181">
        <v>0</v>
      </c>
      <c r="AC181">
        <v>0</v>
      </c>
      <c r="AD181">
        <v>1</v>
      </c>
      <c r="AE181">
        <v>0</v>
      </c>
      <c r="AF181" t="s">
        <v>297</v>
      </c>
      <c r="AG181">
        <v>5.7269999999999985</v>
      </c>
      <c r="AH181">
        <v>2</v>
      </c>
      <c r="AI181">
        <v>44578999</v>
      </c>
      <c r="AJ181">
        <v>176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ROW(Source!A195)</f>
        <v>195</v>
      </c>
      <c r="B182">
        <v>44579005</v>
      </c>
      <c r="C182">
        <v>44578997</v>
      </c>
      <c r="D182">
        <v>13902508</v>
      </c>
      <c r="E182">
        <v>1</v>
      </c>
      <c r="F182">
        <v>1</v>
      </c>
      <c r="G182">
        <v>1</v>
      </c>
      <c r="H182">
        <v>2</v>
      </c>
      <c r="I182" t="s">
        <v>644</v>
      </c>
      <c r="J182" t="s">
        <v>645</v>
      </c>
      <c r="K182" t="s">
        <v>646</v>
      </c>
      <c r="L182">
        <v>1368</v>
      </c>
      <c r="N182">
        <v>1011</v>
      </c>
      <c r="O182" t="s">
        <v>453</v>
      </c>
      <c r="P182" t="s">
        <v>453</v>
      </c>
      <c r="Q182">
        <v>1</v>
      </c>
      <c r="X182">
        <v>0.86</v>
      </c>
      <c r="Y182">
        <v>0</v>
      </c>
      <c r="Z182">
        <v>83.69</v>
      </c>
      <c r="AA182">
        <v>11.28</v>
      </c>
      <c r="AB182">
        <v>0</v>
      </c>
      <c r="AC182">
        <v>0</v>
      </c>
      <c r="AD182">
        <v>1</v>
      </c>
      <c r="AE182">
        <v>0</v>
      </c>
      <c r="AF182" t="s">
        <v>297</v>
      </c>
      <c r="AG182">
        <v>5.933999999999999</v>
      </c>
      <c r="AH182">
        <v>2</v>
      </c>
      <c r="AI182">
        <v>44579000</v>
      </c>
      <c r="AJ182">
        <v>177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ROW(Source!A195)</f>
        <v>195</v>
      </c>
      <c r="B183">
        <v>44579006</v>
      </c>
      <c r="C183">
        <v>44578997</v>
      </c>
      <c r="D183">
        <v>13902509</v>
      </c>
      <c r="E183">
        <v>1</v>
      </c>
      <c r="F183">
        <v>1</v>
      </c>
      <c r="G183">
        <v>1</v>
      </c>
      <c r="H183">
        <v>2</v>
      </c>
      <c r="I183" t="s">
        <v>647</v>
      </c>
      <c r="J183" t="s">
        <v>648</v>
      </c>
      <c r="K183" t="s">
        <v>649</v>
      </c>
      <c r="L183">
        <v>1368</v>
      </c>
      <c r="N183">
        <v>1011</v>
      </c>
      <c r="O183" t="s">
        <v>453</v>
      </c>
      <c r="P183" t="s">
        <v>453</v>
      </c>
      <c r="Q183">
        <v>1</v>
      </c>
      <c r="X183">
        <v>0.82</v>
      </c>
      <c r="Y183">
        <v>0</v>
      </c>
      <c r="Z183">
        <v>140.39</v>
      </c>
      <c r="AA183">
        <v>14</v>
      </c>
      <c r="AB183">
        <v>0</v>
      </c>
      <c r="AC183">
        <v>0</v>
      </c>
      <c r="AD183">
        <v>1</v>
      </c>
      <c r="AE183">
        <v>0</v>
      </c>
      <c r="AF183" t="s">
        <v>297</v>
      </c>
      <c r="AG183">
        <v>5.657999999999999</v>
      </c>
      <c r="AH183">
        <v>2</v>
      </c>
      <c r="AI183">
        <v>44579001</v>
      </c>
      <c r="AJ183">
        <v>178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ROW(Source!A195)</f>
        <v>195</v>
      </c>
      <c r="B184">
        <v>44579007</v>
      </c>
      <c r="C184">
        <v>44578997</v>
      </c>
      <c r="D184">
        <v>13984277</v>
      </c>
      <c r="E184">
        <v>1</v>
      </c>
      <c r="F184">
        <v>1</v>
      </c>
      <c r="G184">
        <v>1</v>
      </c>
      <c r="H184">
        <v>3</v>
      </c>
      <c r="I184" t="s">
        <v>281</v>
      </c>
      <c r="J184" t="s">
        <v>284</v>
      </c>
      <c r="K184" t="s">
        <v>282</v>
      </c>
      <c r="L184">
        <v>1339</v>
      </c>
      <c r="N184">
        <v>1007</v>
      </c>
      <c r="O184" t="s">
        <v>283</v>
      </c>
      <c r="P184" t="s">
        <v>283</v>
      </c>
      <c r="Q184">
        <v>1</v>
      </c>
      <c r="X184">
        <v>12.6</v>
      </c>
      <c r="Y184">
        <v>199.6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296</v>
      </c>
      <c r="AG184">
        <v>63</v>
      </c>
      <c r="AH184">
        <v>2</v>
      </c>
      <c r="AI184">
        <v>44579002</v>
      </c>
      <c r="AJ184">
        <v>179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ROW(Source!A198)</f>
        <v>198</v>
      </c>
      <c r="B185">
        <v>44579014</v>
      </c>
      <c r="C185">
        <v>44579010</v>
      </c>
      <c r="D185">
        <v>121548</v>
      </c>
      <c r="E185">
        <v>1</v>
      </c>
      <c r="F185">
        <v>1</v>
      </c>
      <c r="G185">
        <v>1</v>
      </c>
      <c r="H185">
        <v>1</v>
      </c>
      <c r="I185" t="s">
        <v>28</v>
      </c>
      <c r="K185" t="s">
        <v>446</v>
      </c>
      <c r="L185">
        <v>608254</v>
      </c>
      <c r="N185">
        <v>1013</v>
      </c>
      <c r="O185" t="s">
        <v>447</v>
      </c>
      <c r="P185" t="s">
        <v>447</v>
      </c>
      <c r="Q185">
        <v>1</v>
      </c>
      <c r="X185">
        <v>0.66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2</v>
      </c>
      <c r="AF185" t="s">
        <v>86</v>
      </c>
      <c r="AG185">
        <v>0.9107999999999999</v>
      </c>
      <c r="AH185">
        <v>2</v>
      </c>
      <c r="AI185">
        <v>44579011</v>
      </c>
      <c r="AJ185">
        <v>180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ROW(Source!A198)</f>
        <v>198</v>
      </c>
      <c r="B186">
        <v>44579015</v>
      </c>
      <c r="C186">
        <v>44579010</v>
      </c>
      <c r="D186">
        <v>13902468</v>
      </c>
      <c r="E186">
        <v>1</v>
      </c>
      <c r="F186">
        <v>1</v>
      </c>
      <c r="G186">
        <v>1</v>
      </c>
      <c r="H186">
        <v>2</v>
      </c>
      <c r="I186" t="s">
        <v>653</v>
      </c>
      <c r="J186" t="s">
        <v>654</v>
      </c>
      <c r="K186" t="s">
        <v>655</v>
      </c>
      <c r="L186">
        <v>1368</v>
      </c>
      <c r="N186">
        <v>1011</v>
      </c>
      <c r="O186" t="s">
        <v>453</v>
      </c>
      <c r="P186" t="s">
        <v>453</v>
      </c>
      <c r="Q186">
        <v>1</v>
      </c>
      <c r="X186">
        <v>0.33</v>
      </c>
      <c r="Y186">
        <v>0</v>
      </c>
      <c r="Z186">
        <v>147.15</v>
      </c>
      <c r="AA186">
        <v>21.06</v>
      </c>
      <c r="AB186">
        <v>0</v>
      </c>
      <c r="AC186">
        <v>0</v>
      </c>
      <c r="AD186">
        <v>1</v>
      </c>
      <c r="AE186">
        <v>0</v>
      </c>
      <c r="AF186" t="s">
        <v>86</v>
      </c>
      <c r="AG186">
        <v>0.45539999999999997</v>
      </c>
      <c r="AH186">
        <v>2</v>
      </c>
      <c r="AI186">
        <v>44579012</v>
      </c>
      <c r="AJ186">
        <v>181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ROW(Source!A198)</f>
        <v>198</v>
      </c>
      <c r="B187">
        <v>44579016</v>
      </c>
      <c r="C187">
        <v>44579010</v>
      </c>
      <c r="D187">
        <v>13907214</v>
      </c>
      <c r="E187">
        <v>1</v>
      </c>
      <c r="F187">
        <v>1</v>
      </c>
      <c r="G187">
        <v>1</v>
      </c>
      <c r="H187">
        <v>3</v>
      </c>
      <c r="I187" t="s">
        <v>656</v>
      </c>
      <c r="J187" t="s">
        <v>657</v>
      </c>
      <c r="K187" t="s">
        <v>658</v>
      </c>
      <c r="L187">
        <v>1348</v>
      </c>
      <c r="N187">
        <v>1009</v>
      </c>
      <c r="O187" t="s">
        <v>322</v>
      </c>
      <c r="P187" t="s">
        <v>322</v>
      </c>
      <c r="Q187">
        <v>1000</v>
      </c>
      <c r="X187">
        <v>1.03</v>
      </c>
      <c r="Y187">
        <v>2395.06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G187">
        <v>1.03</v>
      </c>
      <c r="AH187">
        <v>2</v>
      </c>
      <c r="AI187">
        <v>44579013</v>
      </c>
      <c r="AJ187">
        <v>182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ROW(Source!A200)</f>
        <v>200</v>
      </c>
      <c r="B188">
        <v>44579028</v>
      </c>
      <c r="C188">
        <v>44579018</v>
      </c>
      <c r="D188">
        <v>9915078</v>
      </c>
      <c r="E188">
        <v>1</v>
      </c>
      <c r="F188">
        <v>1</v>
      </c>
      <c r="G188">
        <v>1</v>
      </c>
      <c r="H188">
        <v>1</v>
      </c>
      <c r="I188" t="s">
        <v>659</v>
      </c>
      <c r="K188" t="s">
        <v>660</v>
      </c>
      <c r="L188">
        <v>1191</v>
      </c>
      <c r="N188">
        <v>1013</v>
      </c>
      <c r="O188" t="s">
        <v>445</v>
      </c>
      <c r="P188" t="s">
        <v>445</v>
      </c>
      <c r="Q188">
        <v>1</v>
      </c>
      <c r="X188">
        <v>21.77</v>
      </c>
      <c r="Y188">
        <v>0</v>
      </c>
      <c r="Z188">
        <v>0</v>
      </c>
      <c r="AA188">
        <v>0</v>
      </c>
      <c r="AB188">
        <v>9.49</v>
      </c>
      <c r="AC188">
        <v>0</v>
      </c>
      <c r="AD188">
        <v>1</v>
      </c>
      <c r="AE188">
        <v>1</v>
      </c>
      <c r="AF188" t="s">
        <v>86</v>
      </c>
      <c r="AG188">
        <v>30.042599999999997</v>
      </c>
      <c r="AH188">
        <v>2</v>
      </c>
      <c r="AI188">
        <v>44579019</v>
      </c>
      <c r="AJ188">
        <v>183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ROW(Source!A200)</f>
        <v>200</v>
      </c>
      <c r="B189">
        <v>44579029</v>
      </c>
      <c r="C189">
        <v>44579018</v>
      </c>
      <c r="D189">
        <v>121548</v>
      </c>
      <c r="E189">
        <v>1</v>
      </c>
      <c r="F189">
        <v>1</v>
      </c>
      <c r="G189">
        <v>1</v>
      </c>
      <c r="H189">
        <v>1</v>
      </c>
      <c r="I189" t="s">
        <v>28</v>
      </c>
      <c r="K189" t="s">
        <v>446</v>
      </c>
      <c r="L189">
        <v>608254</v>
      </c>
      <c r="N189">
        <v>1013</v>
      </c>
      <c r="O189" t="s">
        <v>447</v>
      </c>
      <c r="P189" t="s">
        <v>447</v>
      </c>
      <c r="Q189">
        <v>1</v>
      </c>
      <c r="X189">
        <v>21.5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2</v>
      </c>
      <c r="AF189" t="s">
        <v>86</v>
      </c>
      <c r="AG189">
        <v>29.669999999999995</v>
      </c>
      <c r="AH189">
        <v>2</v>
      </c>
      <c r="AI189">
        <v>44579020</v>
      </c>
      <c r="AJ189">
        <v>184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ROW(Source!A200)</f>
        <v>200</v>
      </c>
      <c r="B190">
        <v>44579030</v>
      </c>
      <c r="C190">
        <v>44579018</v>
      </c>
      <c r="D190">
        <v>13902508</v>
      </c>
      <c r="E190">
        <v>1</v>
      </c>
      <c r="F190">
        <v>1</v>
      </c>
      <c r="G190">
        <v>1</v>
      </c>
      <c r="H190">
        <v>2</v>
      </c>
      <c r="I190" t="s">
        <v>644</v>
      </c>
      <c r="J190" t="s">
        <v>645</v>
      </c>
      <c r="K190" t="s">
        <v>646</v>
      </c>
      <c r="L190">
        <v>1368</v>
      </c>
      <c r="N190">
        <v>1011</v>
      </c>
      <c r="O190" t="s">
        <v>453</v>
      </c>
      <c r="P190" t="s">
        <v>453</v>
      </c>
      <c r="Q190">
        <v>1</v>
      </c>
      <c r="X190">
        <v>4.18</v>
      </c>
      <c r="Y190">
        <v>0</v>
      </c>
      <c r="Z190">
        <v>83.69</v>
      </c>
      <c r="AA190">
        <v>11.28</v>
      </c>
      <c r="AB190">
        <v>0</v>
      </c>
      <c r="AC190">
        <v>0</v>
      </c>
      <c r="AD190">
        <v>1</v>
      </c>
      <c r="AE190">
        <v>0</v>
      </c>
      <c r="AF190" t="s">
        <v>86</v>
      </c>
      <c r="AG190">
        <v>5.768399999999999</v>
      </c>
      <c r="AH190">
        <v>2</v>
      </c>
      <c r="AI190">
        <v>44579021</v>
      </c>
      <c r="AJ190">
        <v>185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ROW(Source!A200)</f>
        <v>200</v>
      </c>
      <c r="B191">
        <v>44579031</v>
      </c>
      <c r="C191">
        <v>44579018</v>
      </c>
      <c r="D191">
        <v>13902509</v>
      </c>
      <c r="E191">
        <v>1</v>
      </c>
      <c r="F191">
        <v>1</v>
      </c>
      <c r="G191">
        <v>1</v>
      </c>
      <c r="H191">
        <v>2</v>
      </c>
      <c r="I191" t="s">
        <v>647</v>
      </c>
      <c r="J191" t="s">
        <v>648</v>
      </c>
      <c r="K191" t="s">
        <v>649</v>
      </c>
      <c r="L191">
        <v>1368</v>
      </c>
      <c r="N191">
        <v>1011</v>
      </c>
      <c r="O191" t="s">
        <v>453</v>
      </c>
      <c r="P191" t="s">
        <v>453</v>
      </c>
      <c r="Q191">
        <v>1</v>
      </c>
      <c r="X191">
        <v>13.57</v>
      </c>
      <c r="Y191">
        <v>0</v>
      </c>
      <c r="Z191">
        <v>140.39</v>
      </c>
      <c r="AA191">
        <v>14</v>
      </c>
      <c r="AB191">
        <v>0</v>
      </c>
      <c r="AC191">
        <v>0</v>
      </c>
      <c r="AD191">
        <v>1</v>
      </c>
      <c r="AE191">
        <v>0</v>
      </c>
      <c r="AF191" t="s">
        <v>86</v>
      </c>
      <c r="AG191">
        <v>18.726599999999998</v>
      </c>
      <c r="AH191">
        <v>2</v>
      </c>
      <c r="AI191">
        <v>44579022</v>
      </c>
      <c r="AJ191">
        <v>186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ROW(Source!A200)</f>
        <v>200</v>
      </c>
      <c r="B192">
        <v>44579032</v>
      </c>
      <c r="C192">
        <v>44579018</v>
      </c>
      <c r="D192">
        <v>13902589</v>
      </c>
      <c r="E192">
        <v>1</v>
      </c>
      <c r="F192">
        <v>1</v>
      </c>
      <c r="G192">
        <v>1</v>
      </c>
      <c r="H192">
        <v>2</v>
      </c>
      <c r="I192" t="s">
        <v>589</v>
      </c>
      <c r="J192" t="s">
        <v>590</v>
      </c>
      <c r="K192" t="s">
        <v>591</v>
      </c>
      <c r="L192">
        <v>1368</v>
      </c>
      <c r="N192">
        <v>1011</v>
      </c>
      <c r="O192" t="s">
        <v>453</v>
      </c>
      <c r="P192" t="s">
        <v>453</v>
      </c>
      <c r="Q192">
        <v>1</v>
      </c>
      <c r="X192">
        <v>0.36</v>
      </c>
      <c r="Y192">
        <v>0</v>
      </c>
      <c r="Z192">
        <v>134.79</v>
      </c>
      <c r="AA192">
        <v>11.28</v>
      </c>
      <c r="AB192">
        <v>0</v>
      </c>
      <c r="AC192">
        <v>0</v>
      </c>
      <c r="AD192">
        <v>1</v>
      </c>
      <c r="AE192">
        <v>0</v>
      </c>
      <c r="AF192" t="s">
        <v>86</v>
      </c>
      <c r="AG192">
        <v>0.49679999999999996</v>
      </c>
      <c r="AH192">
        <v>2</v>
      </c>
      <c r="AI192">
        <v>44579023</v>
      </c>
      <c r="AJ192">
        <v>187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ROW(Source!A200)</f>
        <v>200</v>
      </c>
      <c r="B193">
        <v>44579033</v>
      </c>
      <c r="C193">
        <v>44579018</v>
      </c>
      <c r="D193">
        <v>13902617</v>
      </c>
      <c r="E193">
        <v>1</v>
      </c>
      <c r="F193">
        <v>1</v>
      </c>
      <c r="G193">
        <v>1</v>
      </c>
      <c r="H193">
        <v>2</v>
      </c>
      <c r="I193" t="s">
        <v>661</v>
      </c>
      <c r="J193" t="s">
        <v>662</v>
      </c>
      <c r="K193" t="s">
        <v>663</v>
      </c>
      <c r="L193">
        <v>1368</v>
      </c>
      <c r="N193">
        <v>1011</v>
      </c>
      <c r="O193" t="s">
        <v>453</v>
      </c>
      <c r="P193" t="s">
        <v>453</v>
      </c>
      <c r="Q193">
        <v>1</v>
      </c>
      <c r="X193">
        <v>3.39</v>
      </c>
      <c r="Y193">
        <v>0</v>
      </c>
      <c r="Z193">
        <v>238.27</v>
      </c>
      <c r="AA193">
        <v>14</v>
      </c>
      <c r="AB193">
        <v>0</v>
      </c>
      <c r="AC193">
        <v>0</v>
      </c>
      <c r="AD193">
        <v>1</v>
      </c>
      <c r="AE193">
        <v>0</v>
      </c>
      <c r="AF193" t="s">
        <v>86</v>
      </c>
      <c r="AG193">
        <v>4.6781999999999995</v>
      </c>
      <c r="AH193">
        <v>2</v>
      </c>
      <c r="AI193">
        <v>44579024</v>
      </c>
      <c r="AJ193">
        <v>188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ROW(Source!A200)</f>
        <v>200</v>
      </c>
      <c r="B194">
        <v>44579034</v>
      </c>
      <c r="C194">
        <v>44579018</v>
      </c>
      <c r="D194">
        <v>13905489</v>
      </c>
      <c r="E194">
        <v>1</v>
      </c>
      <c r="F194">
        <v>1</v>
      </c>
      <c r="G194">
        <v>1</v>
      </c>
      <c r="H194">
        <v>3</v>
      </c>
      <c r="I194" t="s">
        <v>664</v>
      </c>
      <c r="J194" t="s">
        <v>665</v>
      </c>
      <c r="K194" t="s">
        <v>666</v>
      </c>
      <c r="L194">
        <v>1348</v>
      </c>
      <c r="N194">
        <v>1009</v>
      </c>
      <c r="O194" t="s">
        <v>322</v>
      </c>
      <c r="P194" t="s">
        <v>322</v>
      </c>
      <c r="Q194">
        <v>1000</v>
      </c>
      <c r="X194">
        <v>0.005</v>
      </c>
      <c r="Y194">
        <v>2816.36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0.005</v>
      </c>
      <c r="AH194">
        <v>2</v>
      </c>
      <c r="AI194">
        <v>44579025</v>
      </c>
      <c r="AJ194">
        <v>189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ROW(Source!A200)</f>
        <v>200</v>
      </c>
      <c r="B195">
        <v>44579035</v>
      </c>
      <c r="C195">
        <v>44579018</v>
      </c>
      <c r="D195">
        <v>13907214</v>
      </c>
      <c r="E195">
        <v>1</v>
      </c>
      <c r="F195">
        <v>1</v>
      </c>
      <c r="G195">
        <v>1</v>
      </c>
      <c r="H195">
        <v>3</v>
      </c>
      <c r="I195" t="s">
        <v>656</v>
      </c>
      <c r="J195" t="s">
        <v>657</v>
      </c>
      <c r="K195" t="s">
        <v>658</v>
      </c>
      <c r="L195">
        <v>1348</v>
      </c>
      <c r="N195">
        <v>1009</v>
      </c>
      <c r="O195" t="s">
        <v>322</v>
      </c>
      <c r="P195" t="s">
        <v>322</v>
      </c>
      <c r="Q195">
        <v>1000</v>
      </c>
      <c r="X195">
        <v>0.074</v>
      </c>
      <c r="Y195">
        <v>2395.06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0.074</v>
      </c>
      <c r="AH195">
        <v>2</v>
      </c>
      <c r="AI195">
        <v>44579026</v>
      </c>
      <c r="AJ195">
        <v>190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ROW(Source!A200)</f>
        <v>200</v>
      </c>
      <c r="B196">
        <v>44579036</v>
      </c>
      <c r="C196">
        <v>44579018</v>
      </c>
      <c r="D196">
        <v>13984949</v>
      </c>
      <c r="E196">
        <v>1</v>
      </c>
      <c r="F196">
        <v>1</v>
      </c>
      <c r="G196">
        <v>1</v>
      </c>
      <c r="H196">
        <v>3</v>
      </c>
      <c r="I196" t="s">
        <v>320</v>
      </c>
      <c r="J196" t="s">
        <v>323</v>
      </c>
      <c r="K196" t="s">
        <v>321</v>
      </c>
      <c r="L196">
        <v>1348</v>
      </c>
      <c r="N196">
        <v>1009</v>
      </c>
      <c r="O196" t="s">
        <v>322</v>
      </c>
      <c r="P196" t="s">
        <v>322</v>
      </c>
      <c r="Q196">
        <v>1000</v>
      </c>
      <c r="X196">
        <v>101</v>
      </c>
      <c r="Y196">
        <v>375.32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101</v>
      </c>
      <c r="AH196">
        <v>2</v>
      </c>
      <c r="AI196">
        <v>44579027</v>
      </c>
      <c r="AJ196">
        <v>191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ROW(Source!A202)</f>
        <v>202</v>
      </c>
      <c r="B197">
        <v>44579063</v>
      </c>
      <c r="C197">
        <v>44579038</v>
      </c>
      <c r="D197">
        <v>9915065</v>
      </c>
      <c r="E197">
        <v>1</v>
      </c>
      <c r="F197">
        <v>1</v>
      </c>
      <c r="G197">
        <v>1</v>
      </c>
      <c r="H197">
        <v>1</v>
      </c>
      <c r="I197" t="s">
        <v>667</v>
      </c>
      <c r="K197" t="s">
        <v>668</v>
      </c>
      <c r="L197">
        <v>1191</v>
      </c>
      <c r="N197">
        <v>1013</v>
      </c>
      <c r="O197" t="s">
        <v>445</v>
      </c>
      <c r="P197" t="s">
        <v>445</v>
      </c>
      <c r="Q197">
        <v>1</v>
      </c>
      <c r="X197">
        <v>20.86</v>
      </c>
      <c r="Y197">
        <v>0</v>
      </c>
      <c r="Z197">
        <v>0</v>
      </c>
      <c r="AA197">
        <v>0</v>
      </c>
      <c r="AB197">
        <v>8.5</v>
      </c>
      <c r="AC197">
        <v>0</v>
      </c>
      <c r="AD197">
        <v>1</v>
      </c>
      <c r="AE197">
        <v>1</v>
      </c>
      <c r="AF197" t="s">
        <v>86</v>
      </c>
      <c r="AG197">
        <v>28.786799999999996</v>
      </c>
      <c r="AH197">
        <v>2</v>
      </c>
      <c r="AI197">
        <v>44579039</v>
      </c>
      <c r="AJ197">
        <v>192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ROW(Source!A202)</f>
        <v>202</v>
      </c>
      <c r="B198">
        <v>44579064</v>
      </c>
      <c r="C198">
        <v>44579038</v>
      </c>
      <c r="D198">
        <v>121548</v>
      </c>
      <c r="E198">
        <v>1</v>
      </c>
      <c r="F198">
        <v>1</v>
      </c>
      <c r="G198">
        <v>1</v>
      </c>
      <c r="H198">
        <v>1</v>
      </c>
      <c r="I198" t="s">
        <v>28</v>
      </c>
      <c r="K198" t="s">
        <v>446</v>
      </c>
      <c r="L198">
        <v>608254</v>
      </c>
      <c r="N198">
        <v>1013</v>
      </c>
      <c r="O198" t="s">
        <v>447</v>
      </c>
      <c r="P198" t="s">
        <v>447</v>
      </c>
      <c r="Q198">
        <v>1</v>
      </c>
      <c r="X198">
        <v>18.65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2</v>
      </c>
      <c r="AF198" t="s">
        <v>86</v>
      </c>
      <c r="AG198">
        <v>25.737</v>
      </c>
      <c r="AH198">
        <v>2</v>
      </c>
      <c r="AI198">
        <v>44579040</v>
      </c>
      <c r="AJ198">
        <v>193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ROW(Source!A202)</f>
        <v>202</v>
      </c>
      <c r="B199">
        <v>44579065</v>
      </c>
      <c r="C199">
        <v>44579038</v>
      </c>
      <c r="D199">
        <v>13901881</v>
      </c>
      <c r="E199">
        <v>1</v>
      </c>
      <c r="F199">
        <v>1</v>
      </c>
      <c r="G199">
        <v>1</v>
      </c>
      <c r="H199">
        <v>2</v>
      </c>
      <c r="I199" t="s">
        <v>638</v>
      </c>
      <c r="J199" t="s">
        <v>639</v>
      </c>
      <c r="K199" t="s">
        <v>640</v>
      </c>
      <c r="L199">
        <v>1368</v>
      </c>
      <c r="N199">
        <v>1011</v>
      </c>
      <c r="O199" t="s">
        <v>453</v>
      </c>
      <c r="P199" t="s">
        <v>453</v>
      </c>
      <c r="Q199">
        <v>1</v>
      </c>
      <c r="X199">
        <v>0.55</v>
      </c>
      <c r="Y199">
        <v>0</v>
      </c>
      <c r="Z199">
        <v>108.42</v>
      </c>
      <c r="AA199">
        <v>9.78</v>
      </c>
      <c r="AB199">
        <v>0</v>
      </c>
      <c r="AC199">
        <v>0</v>
      </c>
      <c r="AD199">
        <v>1</v>
      </c>
      <c r="AE199">
        <v>0</v>
      </c>
      <c r="AF199" t="s">
        <v>86</v>
      </c>
      <c r="AG199">
        <v>0.7589999999999999</v>
      </c>
      <c r="AH199">
        <v>2</v>
      </c>
      <c r="AI199">
        <v>44579041</v>
      </c>
      <c r="AJ199">
        <v>194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ROW(Source!A202)</f>
        <v>202</v>
      </c>
      <c r="B200">
        <v>44579066</v>
      </c>
      <c r="C200">
        <v>44579038</v>
      </c>
      <c r="D200">
        <v>13901903</v>
      </c>
      <c r="E200">
        <v>1</v>
      </c>
      <c r="F200">
        <v>1</v>
      </c>
      <c r="G200">
        <v>1</v>
      </c>
      <c r="H200">
        <v>2</v>
      </c>
      <c r="I200" t="s">
        <v>669</v>
      </c>
      <c r="J200" t="s">
        <v>670</v>
      </c>
      <c r="K200" t="s">
        <v>671</v>
      </c>
      <c r="L200">
        <v>1368</v>
      </c>
      <c r="N200">
        <v>1011</v>
      </c>
      <c r="O200" t="s">
        <v>453</v>
      </c>
      <c r="P200" t="s">
        <v>453</v>
      </c>
      <c r="Q200">
        <v>1</v>
      </c>
      <c r="X200">
        <v>2.44</v>
      </c>
      <c r="Y200">
        <v>0</v>
      </c>
      <c r="Z200">
        <v>1.33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86</v>
      </c>
      <c r="AG200">
        <v>3.3671999999999995</v>
      </c>
      <c r="AH200">
        <v>2</v>
      </c>
      <c r="AI200">
        <v>44579042</v>
      </c>
      <c r="AJ200">
        <v>195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ROW(Source!A202)</f>
        <v>202</v>
      </c>
      <c r="B201">
        <v>44579067</v>
      </c>
      <c r="C201">
        <v>44579038</v>
      </c>
      <c r="D201">
        <v>13902511</v>
      </c>
      <c r="E201">
        <v>1</v>
      </c>
      <c r="F201">
        <v>1</v>
      </c>
      <c r="G201">
        <v>1</v>
      </c>
      <c r="H201">
        <v>2</v>
      </c>
      <c r="I201" t="s">
        <v>672</v>
      </c>
      <c r="J201" t="s">
        <v>673</v>
      </c>
      <c r="K201" t="s">
        <v>674</v>
      </c>
      <c r="L201">
        <v>1368</v>
      </c>
      <c r="N201">
        <v>1011</v>
      </c>
      <c r="O201" t="s">
        <v>453</v>
      </c>
      <c r="P201" t="s">
        <v>453</v>
      </c>
      <c r="Q201">
        <v>1</v>
      </c>
      <c r="X201">
        <v>0.97</v>
      </c>
      <c r="Y201">
        <v>0</v>
      </c>
      <c r="Z201">
        <v>234.33</v>
      </c>
      <c r="AA201">
        <v>13.12</v>
      </c>
      <c r="AB201">
        <v>0</v>
      </c>
      <c r="AC201">
        <v>0</v>
      </c>
      <c r="AD201">
        <v>1</v>
      </c>
      <c r="AE201">
        <v>0</v>
      </c>
      <c r="AF201" t="s">
        <v>86</v>
      </c>
      <c r="AG201">
        <v>1.3385999999999998</v>
      </c>
      <c r="AH201">
        <v>2</v>
      </c>
      <c r="AI201">
        <v>44579043</v>
      </c>
      <c r="AJ201">
        <v>196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ROW(Source!A202)</f>
        <v>202</v>
      </c>
      <c r="B202">
        <v>44579068</v>
      </c>
      <c r="C202">
        <v>44579038</v>
      </c>
      <c r="D202">
        <v>13902560</v>
      </c>
      <c r="E202">
        <v>1</v>
      </c>
      <c r="F202">
        <v>1</v>
      </c>
      <c r="G202">
        <v>1</v>
      </c>
      <c r="H202">
        <v>2</v>
      </c>
      <c r="I202" t="s">
        <v>675</v>
      </c>
      <c r="J202" t="s">
        <v>676</v>
      </c>
      <c r="K202" t="s">
        <v>677</v>
      </c>
      <c r="L202">
        <v>1368</v>
      </c>
      <c r="N202">
        <v>1011</v>
      </c>
      <c r="O202" t="s">
        <v>453</v>
      </c>
      <c r="P202" t="s">
        <v>453</v>
      </c>
      <c r="Q202">
        <v>1</v>
      </c>
      <c r="X202">
        <v>2.04</v>
      </c>
      <c r="Y202">
        <v>0</v>
      </c>
      <c r="Z202">
        <v>1511.07</v>
      </c>
      <c r="AA202">
        <v>14</v>
      </c>
      <c r="AB202">
        <v>0</v>
      </c>
      <c r="AC202">
        <v>0</v>
      </c>
      <c r="AD202">
        <v>1</v>
      </c>
      <c r="AE202">
        <v>0</v>
      </c>
      <c r="AF202" t="s">
        <v>86</v>
      </c>
      <c r="AG202">
        <v>2.8151999999999995</v>
      </c>
      <c r="AH202">
        <v>2</v>
      </c>
      <c r="AI202">
        <v>44579044</v>
      </c>
      <c r="AJ202">
        <v>197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ROW(Source!A202)</f>
        <v>202</v>
      </c>
      <c r="B203">
        <v>44579069</v>
      </c>
      <c r="C203">
        <v>44579038</v>
      </c>
      <c r="D203">
        <v>13902589</v>
      </c>
      <c r="E203">
        <v>1</v>
      </c>
      <c r="F203">
        <v>1</v>
      </c>
      <c r="G203">
        <v>1</v>
      </c>
      <c r="H203">
        <v>2</v>
      </c>
      <c r="I203" t="s">
        <v>589</v>
      </c>
      <c r="J203" t="s">
        <v>590</v>
      </c>
      <c r="K203" t="s">
        <v>591</v>
      </c>
      <c r="L203">
        <v>1368</v>
      </c>
      <c r="N203">
        <v>1011</v>
      </c>
      <c r="O203" t="s">
        <v>453</v>
      </c>
      <c r="P203" t="s">
        <v>453</v>
      </c>
      <c r="Q203">
        <v>1</v>
      </c>
      <c r="X203">
        <v>3.1</v>
      </c>
      <c r="Y203">
        <v>0</v>
      </c>
      <c r="Z203">
        <v>134.79</v>
      </c>
      <c r="AA203">
        <v>11.28</v>
      </c>
      <c r="AB203">
        <v>0</v>
      </c>
      <c r="AC203">
        <v>0</v>
      </c>
      <c r="AD203">
        <v>1</v>
      </c>
      <c r="AE203">
        <v>0</v>
      </c>
      <c r="AF203" t="s">
        <v>86</v>
      </c>
      <c r="AG203">
        <v>4.278</v>
      </c>
      <c r="AH203">
        <v>2</v>
      </c>
      <c r="AI203">
        <v>44579045</v>
      </c>
      <c r="AJ203">
        <v>198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ROW(Source!A202)</f>
        <v>202</v>
      </c>
      <c r="B204">
        <v>44579070</v>
      </c>
      <c r="C204">
        <v>44579038</v>
      </c>
      <c r="D204">
        <v>13903845</v>
      </c>
      <c r="E204">
        <v>1</v>
      </c>
      <c r="F204">
        <v>1</v>
      </c>
      <c r="G204">
        <v>1</v>
      </c>
      <c r="H204">
        <v>2</v>
      </c>
      <c r="I204" t="s">
        <v>623</v>
      </c>
      <c r="J204" t="s">
        <v>624</v>
      </c>
      <c r="K204" t="s">
        <v>625</v>
      </c>
      <c r="L204">
        <v>1368</v>
      </c>
      <c r="N204">
        <v>1011</v>
      </c>
      <c r="O204" t="s">
        <v>453</v>
      </c>
      <c r="P204" t="s">
        <v>453</v>
      </c>
      <c r="Q204">
        <v>1</v>
      </c>
      <c r="X204">
        <v>1.15</v>
      </c>
      <c r="Y204">
        <v>0</v>
      </c>
      <c r="Z204">
        <v>2.44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86</v>
      </c>
      <c r="AG204">
        <v>1.5869999999999997</v>
      </c>
      <c r="AH204">
        <v>2</v>
      </c>
      <c r="AI204">
        <v>44579046</v>
      </c>
      <c r="AJ204">
        <v>199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ROW(Source!A202)</f>
        <v>202</v>
      </c>
      <c r="B205">
        <v>44579071</v>
      </c>
      <c r="C205">
        <v>44579038</v>
      </c>
      <c r="D205">
        <v>13904113</v>
      </c>
      <c r="E205">
        <v>1</v>
      </c>
      <c r="F205">
        <v>1</v>
      </c>
      <c r="G205">
        <v>1</v>
      </c>
      <c r="H205">
        <v>2</v>
      </c>
      <c r="I205" t="s">
        <v>678</v>
      </c>
      <c r="J205" t="s">
        <v>679</v>
      </c>
      <c r="K205" t="s">
        <v>680</v>
      </c>
      <c r="L205">
        <v>1368</v>
      </c>
      <c r="N205">
        <v>1011</v>
      </c>
      <c r="O205" t="s">
        <v>453</v>
      </c>
      <c r="P205" t="s">
        <v>453</v>
      </c>
      <c r="Q205">
        <v>1</v>
      </c>
      <c r="X205">
        <v>2.04</v>
      </c>
      <c r="Y205">
        <v>0</v>
      </c>
      <c r="Z205">
        <v>846.54</v>
      </c>
      <c r="AA205">
        <v>15.98</v>
      </c>
      <c r="AB205">
        <v>0</v>
      </c>
      <c r="AC205">
        <v>0</v>
      </c>
      <c r="AD205">
        <v>1</v>
      </c>
      <c r="AE205">
        <v>0</v>
      </c>
      <c r="AF205" t="s">
        <v>86</v>
      </c>
      <c r="AG205">
        <v>2.8151999999999995</v>
      </c>
      <c r="AH205">
        <v>2</v>
      </c>
      <c r="AI205">
        <v>44579047</v>
      </c>
      <c r="AJ205">
        <v>200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ROW(Source!A202)</f>
        <v>202</v>
      </c>
      <c r="B206">
        <v>44579072</v>
      </c>
      <c r="C206">
        <v>44579038</v>
      </c>
      <c r="D206">
        <v>13904114</v>
      </c>
      <c r="E206">
        <v>1</v>
      </c>
      <c r="F206">
        <v>1</v>
      </c>
      <c r="G206">
        <v>1</v>
      </c>
      <c r="H206">
        <v>2</v>
      </c>
      <c r="I206" t="s">
        <v>681</v>
      </c>
      <c r="J206" t="s">
        <v>682</v>
      </c>
      <c r="K206" t="s">
        <v>683</v>
      </c>
      <c r="L206">
        <v>1368</v>
      </c>
      <c r="N206">
        <v>1011</v>
      </c>
      <c r="O206" t="s">
        <v>453</v>
      </c>
      <c r="P206" t="s">
        <v>453</v>
      </c>
      <c r="Q206">
        <v>1</v>
      </c>
      <c r="X206">
        <v>2.04</v>
      </c>
      <c r="Y206">
        <v>0</v>
      </c>
      <c r="Z206">
        <v>23.24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86</v>
      </c>
      <c r="AG206">
        <v>2.8151999999999995</v>
      </c>
      <c r="AH206">
        <v>2</v>
      </c>
      <c r="AI206">
        <v>44579048</v>
      </c>
      <c r="AJ206">
        <v>201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ROW(Source!A202)</f>
        <v>202</v>
      </c>
      <c r="B207">
        <v>44579073</v>
      </c>
      <c r="C207">
        <v>44579038</v>
      </c>
      <c r="D207">
        <v>13904115</v>
      </c>
      <c r="E207">
        <v>1</v>
      </c>
      <c r="F207">
        <v>1</v>
      </c>
      <c r="G207">
        <v>1</v>
      </c>
      <c r="H207">
        <v>2</v>
      </c>
      <c r="I207" t="s">
        <v>684</v>
      </c>
      <c r="J207" t="s">
        <v>685</v>
      </c>
      <c r="K207" t="s">
        <v>686</v>
      </c>
      <c r="L207">
        <v>1368</v>
      </c>
      <c r="N207">
        <v>1011</v>
      </c>
      <c r="O207" t="s">
        <v>453</v>
      </c>
      <c r="P207" t="s">
        <v>453</v>
      </c>
      <c r="Q207">
        <v>1</v>
      </c>
      <c r="X207">
        <v>1.51</v>
      </c>
      <c r="Y207">
        <v>0</v>
      </c>
      <c r="Z207">
        <v>359.36</v>
      </c>
      <c r="AA207">
        <v>13.12</v>
      </c>
      <c r="AB207">
        <v>0</v>
      </c>
      <c r="AC207">
        <v>0</v>
      </c>
      <c r="AD207">
        <v>1</v>
      </c>
      <c r="AE207">
        <v>0</v>
      </c>
      <c r="AF207" t="s">
        <v>86</v>
      </c>
      <c r="AG207">
        <v>2.0837999999999997</v>
      </c>
      <c r="AH207">
        <v>2</v>
      </c>
      <c r="AI207">
        <v>44579049</v>
      </c>
      <c r="AJ207">
        <v>202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ROW(Source!A202)</f>
        <v>202</v>
      </c>
      <c r="B208">
        <v>44579074</v>
      </c>
      <c r="C208">
        <v>44579038</v>
      </c>
      <c r="D208">
        <v>13904116</v>
      </c>
      <c r="E208">
        <v>1</v>
      </c>
      <c r="F208">
        <v>1</v>
      </c>
      <c r="G208">
        <v>1</v>
      </c>
      <c r="H208">
        <v>2</v>
      </c>
      <c r="I208" t="s">
        <v>687</v>
      </c>
      <c r="J208" t="s">
        <v>688</v>
      </c>
      <c r="K208" t="s">
        <v>689</v>
      </c>
      <c r="L208">
        <v>1368</v>
      </c>
      <c r="N208">
        <v>1011</v>
      </c>
      <c r="O208" t="s">
        <v>453</v>
      </c>
      <c r="P208" t="s">
        <v>453</v>
      </c>
      <c r="Q208">
        <v>1</v>
      </c>
      <c r="X208">
        <v>2.59</v>
      </c>
      <c r="Y208">
        <v>0</v>
      </c>
      <c r="Z208">
        <v>142.88</v>
      </c>
      <c r="AA208">
        <v>13.12</v>
      </c>
      <c r="AB208">
        <v>0</v>
      </c>
      <c r="AC208">
        <v>0</v>
      </c>
      <c r="AD208">
        <v>1</v>
      </c>
      <c r="AE208">
        <v>0</v>
      </c>
      <c r="AF208" t="s">
        <v>86</v>
      </c>
      <c r="AG208">
        <v>3.5741999999999994</v>
      </c>
      <c r="AH208">
        <v>2</v>
      </c>
      <c r="AI208">
        <v>44579050</v>
      </c>
      <c r="AJ208">
        <v>203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ROW(Source!A202)</f>
        <v>202</v>
      </c>
      <c r="B209">
        <v>44579075</v>
      </c>
      <c r="C209">
        <v>44579038</v>
      </c>
      <c r="D209">
        <v>13904117</v>
      </c>
      <c r="E209">
        <v>1</v>
      </c>
      <c r="F209">
        <v>1</v>
      </c>
      <c r="G209">
        <v>1</v>
      </c>
      <c r="H209">
        <v>2</v>
      </c>
      <c r="I209" t="s">
        <v>690</v>
      </c>
      <c r="J209" t="s">
        <v>691</v>
      </c>
      <c r="K209" t="s">
        <v>692</v>
      </c>
      <c r="L209">
        <v>1368</v>
      </c>
      <c r="N209">
        <v>1011</v>
      </c>
      <c r="O209" t="s">
        <v>453</v>
      </c>
      <c r="P209" t="s">
        <v>453</v>
      </c>
      <c r="Q209">
        <v>1</v>
      </c>
      <c r="X209">
        <v>2.14</v>
      </c>
      <c r="Y209">
        <v>0</v>
      </c>
      <c r="Z209">
        <v>571.76</v>
      </c>
      <c r="AA209">
        <v>13.12</v>
      </c>
      <c r="AB209">
        <v>0</v>
      </c>
      <c r="AC209">
        <v>0</v>
      </c>
      <c r="AD209">
        <v>1</v>
      </c>
      <c r="AE209">
        <v>0</v>
      </c>
      <c r="AF209" t="s">
        <v>86</v>
      </c>
      <c r="AG209">
        <v>2.9532</v>
      </c>
      <c r="AH209">
        <v>2</v>
      </c>
      <c r="AI209">
        <v>44579051</v>
      </c>
      <c r="AJ209">
        <v>204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ROW(Source!A202)</f>
        <v>202</v>
      </c>
      <c r="B210">
        <v>44579076</v>
      </c>
      <c r="C210">
        <v>44579038</v>
      </c>
      <c r="D210">
        <v>13904139</v>
      </c>
      <c r="E210">
        <v>1</v>
      </c>
      <c r="F210">
        <v>1</v>
      </c>
      <c r="G210">
        <v>1</v>
      </c>
      <c r="H210">
        <v>2</v>
      </c>
      <c r="I210" t="s">
        <v>693</v>
      </c>
      <c r="J210" t="s">
        <v>694</v>
      </c>
      <c r="K210" t="s">
        <v>695</v>
      </c>
      <c r="L210">
        <v>1368</v>
      </c>
      <c r="N210">
        <v>1011</v>
      </c>
      <c r="O210" t="s">
        <v>453</v>
      </c>
      <c r="P210" t="s">
        <v>453</v>
      </c>
      <c r="Q210">
        <v>1</v>
      </c>
      <c r="X210">
        <v>3.71</v>
      </c>
      <c r="Y210">
        <v>0</v>
      </c>
      <c r="Z210">
        <v>241.5</v>
      </c>
      <c r="AA210">
        <v>9.78</v>
      </c>
      <c r="AB210">
        <v>0</v>
      </c>
      <c r="AC210">
        <v>0</v>
      </c>
      <c r="AD210">
        <v>1</v>
      </c>
      <c r="AE210">
        <v>0</v>
      </c>
      <c r="AF210" t="s">
        <v>86</v>
      </c>
      <c r="AG210">
        <v>5.1198</v>
      </c>
      <c r="AH210">
        <v>2</v>
      </c>
      <c r="AI210">
        <v>44579052</v>
      </c>
      <c r="AJ210">
        <v>205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ROW(Source!A202)</f>
        <v>202</v>
      </c>
      <c r="B211">
        <v>44579077</v>
      </c>
      <c r="C211">
        <v>44579038</v>
      </c>
      <c r="D211">
        <v>13904182</v>
      </c>
      <c r="E211">
        <v>1</v>
      </c>
      <c r="F211">
        <v>1</v>
      </c>
      <c r="G211">
        <v>1</v>
      </c>
      <c r="H211">
        <v>2</v>
      </c>
      <c r="I211" t="s">
        <v>696</v>
      </c>
      <c r="J211" t="s">
        <v>697</v>
      </c>
      <c r="K211" t="s">
        <v>698</v>
      </c>
      <c r="L211">
        <v>1368</v>
      </c>
      <c r="N211">
        <v>1011</v>
      </c>
      <c r="O211" t="s">
        <v>453</v>
      </c>
      <c r="P211" t="s">
        <v>453</v>
      </c>
      <c r="Q211">
        <v>1</v>
      </c>
      <c r="X211">
        <v>1.52</v>
      </c>
      <c r="Y211">
        <v>0</v>
      </c>
      <c r="Z211">
        <v>49.77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86</v>
      </c>
      <c r="AG211">
        <v>2.0975999999999995</v>
      </c>
      <c r="AH211">
        <v>2</v>
      </c>
      <c r="AI211">
        <v>44579053</v>
      </c>
      <c r="AJ211">
        <v>206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ROW(Source!A202)</f>
        <v>202</v>
      </c>
      <c r="B212">
        <v>44579078</v>
      </c>
      <c r="C212">
        <v>44579038</v>
      </c>
      <c r="D212">
        <v>13904256</v>
      </c>
      <c r="E212">
        <v>1</v>
      </c>
      <c r="F212">
        <v>1</v>
      </c>
      <c r="G212">
        <v>1</v>
      </c>
      <c r="H212">
        <v>2</v>
      </c>
      <c r="I212" t="s">
        <v>699</v>
      </c>
      <c r="J212" t="s">
        <v>700</v>
      </c>
      <c r="K212" t="s">
        <v>701</v>
      </c>
      <c r="L212">
        <v>1368</v>
      </c>
      <c r="N212">
        <v>1011</v>
      </c>
      <c r="O212" t="s">
        <v>453</v>
      </c>
      <c r="P212" t="s">
        <v>453</v>
      </c>
      <c r="Q212">
        <v>1</v>
      </c>
      <c r="X212">
        <v>0.2</v>
      </c>
      <c r="Y212">
        <v>0</v>
      </c>
      <c r="Z212">
        <v>136.96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86</v>
      </c>
      <c r="AG212">
        <v>0.27599999999999997</v>
      </c>
      <c r="AH212">
        <v>2</v>
      </c>
      <c r="AI212">
        <v>44579054</v>
      </c>
      <c r="AJ212">
        <v>207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ROW(Source!A202)</f>
        <v>202</v>
      </c>
      <c r="B213">
        <v>44579079</v>
      </c>
      <c r="C213">
        <v>44579038</v>
      </c>
      <c r="D213">
        <v>13906127</v>
      </c>
      <c r="E213">
        <v>1</v>
      </c>
      <c r="F213">
        <v>1</v>
      </c>
      <c r="G213">
        <v>1</v>
      </c>
      <c r="H213">
        <v>3</v>
      </c>
      <c r="I213" t="s">
        <v>702</v>
      </c>
      <c r="J213" t="s">
        <v>703</v>
      </c>
      <c r="K213" t="s">
        <v>704</v>
      </c>
      <c r="L213">
        <v>1348</v>
      </c>
      <c r="N213">
        <v>1009</v>
      </c>
      <c r="O213" t="s">
        <v>322</v>
      </c>
      <c r="P213" t="s">
        <v>322</v>
      </c>
      <c r="Q213">
        <v>1000</v>
      </c>
      <c r="X213">
        <v>0.0008</v>
      </c>
      <c r="Y213">
        <v>9233.79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G213">
        <v>0.0008</v>
      </c>
      <c r="AH213">
        <v>2</v>
      </c>
      <c r="AI213">
        <v>44579055</v>
      </c>
      <c r="AJ213">
        <v>208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ROW(Source!A202)</f>
        <v>202</v>
      </c>
      <c r="B214">
        <v>44579080</v>
      </c>
      <c r="C214">
        <v>44579038</v>
      </c>
      <c r="D214">
        <v>13907356</v>
      </c>
      <c r="E214">
        <v>1</v>
      </c>
      <c r="F214">
        <v>1</v>
      </c>
      <c r="G214">
        <v>1</v>
      </c>
      <c r="H214">
        <v>3</v>
      </c>
      <c r="I214" t="s">
        <v>705</v>
      </c>
      <c r="J214" t="s">
        <v>706</v>
      </c>
      <c r="K214" t="s">
        <v>707</v>
      </c>
      <c r="L214">
        <v>1354</v>
      </c>
      <c r="N214">
        <v>1010</v>
      </c>
      <c r="O214" t="s">
        <v>348</v>
      </c>
      <c r="P214" t="s">
        <v>348</v>
      </c>
      <c r="Q214">
        <v>1</v>
      </c>
      <c r="X214">
        <v>0.782</v>
      </c>
      <c r="Y214">
        <v>9075.86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G214">
        <v>0.782</v>
      </c>
      <c r="AH214">
        <v>2</v>
      </c>
      <c r="AI214">
        <v>44579056</v>
      </c>
      <c r="AJ214">
        <v>209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ROW(Source!A202)</f>
        <v>202</v>
      </c>
      <c r="B215">
        <v>44579081</v>
      </c>
      <c r="C215">
        <v>44579038</v>
      </c>
      <c r="D215">
        <v>13907379</v>
      </c>
      <c r="E215">
        <v>1</v>
      </c>
      <c r="F215">
        <v>1</v>
      </c>
      <c r="G215">
        <v>1</v>
      </c>
      <c r="H215">
        <v>3</v>
      </c>
      <c r="I215" t="s">
        <v>708</v>
      </c>
      <c r="J215" t="s">
        <v>709</v>
      </c>
      <c r="K215" t="s">
        <v>710</v>
      </c>
      <c r="L215">
        <v>1348</v>
      </c>
      <c r="N215">
        <v>1009</v>
      </c>
      <c r="O215" t="s">
        <v>322</v>
      </c>
      <c r="P215" t="s">
        <v>322</v>
      </c>
      <c r="Q215">
        <v>1000</v>
      </c>
      <c r="X215">
        <v>0.0024</v>
      </c>
      <c r="Y215">
        <v>12000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G215">
        <v>0.0024</v>
      </c>
      <c r="AH215">
        <v>2</v>
      </c>
      <c r="AI215">
        <v>44579057</v>
      </c>
      <c r="AJ215">
        <v>210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ROW(Source!A202)</f>
        <v>202</v>
      </c>
      <c r="B216">
        <v>44579082</v>
      </c>
      <c r="C216">
        <v>44579038</v>
      </c>
      <c r="D216">
        <v>13907503</v>
      </c>
      <c r="E216">
        <v>1</v>
      </c>
      <c r="F216">
        <v>1</v>
      </c>
      <c r="G216">
        <v>1</v>
      </c>
      <c r="H216">
        <v>3</v>
      </c>
      <c r="I216" t="s">
        <v>711</v>
      </c>
      <c r="J216" t="s">
        <v>712</v>
      </c>
      <c r="K216" t="s">
        <v>713</v>
      </c>
      <c r="L216">
        <v>1348</v>
      </c>
      <c r="N216">
        <v>1009</v>
      </c>
      <c r="O216" t="s">
        <v>322</v>
      </c>
      <c r="P216" t="s">
        <v>322</v>
      </c>
      <c r="Q216">
        <v>1000</v>
      </c>
      <c r="X216">
        <v>0.004</v>
      </c>
      <c r="Y216">
        <v>3229.25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G216">
        <v>0.004</v>
      </c>
      <c r="AH216">
        <v>2</v>
      </c>
      <c r="AI216">
        <v>44579058</v>
      </c>
      <c r="AJ216">
        <v>211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ROW(Source!A202)</f>
        <v>202</v>
      </c>
      <c r="B217">
        <v>44579083</v>
      </c>
      <c r="C217">
        <v>44579038</v>
      </c>
      <c r="D217">
        <v>13907653</v>
      </c>
      <c r="E217">
        <v>1</v>
      </c>
      <c r="F217">
        <v>1</v>
      </c>
      <c r="G217">
        <v>1</v>
      </c>
      <c r="H217">
        <v>3</v>
      </c>
      <c r="I217" t="s">
        <v>714</v>
      </c>
      <c r="J217" t="s">
        <v>715</v>
      </c>
      <c r="K217" t="s">
        <v>716</v>
      </c>
      <c r="L217">
        <v>1348</v>
      </c>
      <c r="N217">
        <v>1009</v>
      </c>
      <c r="O217" t="s">
        <v>322</v>
      </c>
      <c r="P217" t="s">
        <v>322</v>
      </c>
      <c r="Q217">
        <v>1000</v>
      </c>
      <c r="X217">
        <v>0.012</v>
      </c>
      <c r="Y217">
        <v>11214.52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G217">
        <v>0.012</v>
      </c>
      <c r="AH217">
        <v>2</v>
      </c>
      <c r="AI217">
        <v>44579059</v>
      </c>
      <c r="AJ217">
        <v>212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ROW(Source!A202)</f>
        <v>202</v>
      </c>
      <c r="B218">
        <v>44579084</v>
      </c>
      <c r="C218">
        <v>44579038</v>
      </c>
      <c r="D218">
        <v>13944721</v>
      </c>
      <c r="E218">
        <v>1</v>
      </c>
      <c r="F218">
        <v>1</v>
      </c>
      <c r="G218">
        <v>1</v>
      </c>
      <c r="H218">
        <v>3</v>
      </c>
      <c r="I218" t="s">
        <v>717</v>
      </c>
      <c r="J218" t="s">
        <v>718</v>
      </c>
      <c r="K218" t="s">
        <v>719</v>
      </c>
      <c r="L218">
        <v>1348</v>
      </c>
      <c r="N218">
        <v>1009</v>
      </c>
      <c r="O218" t="s">
        <v>322</v>
      </c>
      <c r="P218" t="s">
        <v>322</v>
      </c>
      <c r="Q218">
        <v>1000</v>
      </c>
      <c r="X218">
        <v>0.0008</v>
      </c>
      <c r="Y218">
        <v>5674.68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G218">
        <v>0.0008</v>
      </c>
      <c r="AH218">
        <v>2</v>
      </c>
      <c r="AI218">
        <v>44579060</v>
      </c>
      <c r="AJ218">
        <v>213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ROW(Source!A202)</f>
        <v>202</v>
      </c>
      <c r="B219">
        <v>44579085</v>
      </c>
      <c r="C219">
        <v>44579038</v>
      </c>
      <c r="D219">
        <v>13984900</v>
      </c>
      <c r="E219">
        <v>1</v>
      </c>
      <c r="F219">
        <v>1</v>
      </c>
      <c r="G219">
        <v>1</v>
      </c>
      <c r="H219">
        <v>3</v>
      </c>
      <c r="I219" t="s">
        <v>330</v>
      </c>
      <c r="J219" t="s">
        <v>332</v>
      </c>
      <c r="K219" t="s">
        <v>331</v>
      </c>
      <c r="L219">
        <v>1348</v>
      </c>
      <c r="N219">
        <v>1009</v>
      </c>
      <c r="O219" t="s">
        <v>322</v>
      </c>
      <c r="P219" t="s">
        <v>322</v>
      </c>
      <c r="Q219">
        <v>1000</v>
      </c>
      <c r="X219">
        <v>105.26</v>
      </c>
      <c r="Y219">
        <v>514.93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G219">
        <v>105.26</v>
      </c>
      <c r="AH219">
        <v>2</v>
      </c>
      <c r="AI219">
        <v>44579061</v>
      </c>
      <c r="AJ219">
        <v>214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ROW(Source!A202)</f>
        <v>202</v>
      </c>
      <c r="B220">
        <v>44579086</v>
      </c>
      <c r="C220">
        <v>44579038</v>
      </c>
      <c r="D220">
        <v>13985062</v>
      </c>
      <c r="E220">
        <v>1</v>
      </c>
      <c r="F220">
        <v>1</v>
      </c>
      <c r="G220">
        <v>1</v>
      </c>
      <c r="H220">
        <v>3</v>
      </c>
      <c r="I220" t="s">
        <v>720</v>
      </c>
      <c r="J220" t="s">
        <v>721</v>
      </c>
      <c r="K220" t="s">
        <v>722</v>
      </c>
      <c r="L220">
        <v>1339</v>
      </c>
      <c r="N220">
        <v>1007</v>
      </c>
      <c r="O220" t="s">
        <v>283</v>
      </c>
      <c r="P220" t="s">
        <v>283</v>
      </c>
      <c r="Q220">
        <v>1</v>
      </c>
      <c r="X220">
        <v>20.52</v>
      </c>
      <c r="Y220">
        <v>6.3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G220">
        <v>20.52</v>
      </c>
      <c r="AH220">
        <v>2</v>
      </c>
      <c r="AI220">
        <v>44579062</v>
      </c>
      <c r="AJ220">
        <v>215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ROW(Source!A300)</f>
        <v>300</v>
      </c>
      <c r="B221">
        <v>44571751</v>
      </c>
      <c r="C221">
        <v>44571747</v>
      </c>
      <c r="D221">
        <v>9908273</v>
      </c>
      <c r="E221">
        <v>1</v>
      </c>
      <c r="F221">
        <v>1</v>
      </c>
      <c r="G221">
        <v>1</v>
      </c>
      <c r="H221">
        <v>1</v>
      </c>
      <c r="I221" t="s">
        <v>723</v>
      </c>
      <c r="K221" t="s">
        <v>724</v>
      </c>
      <c r="L221">
        <v>1191</v>
      </c>
      <c r="N221">
        <v>1013</v>
      </c>
      <c r="O221" t="s">
        <v>445</v>
      </c>
      <c r="P221" t="s">
        <v>445</v>
      </c>
      <c r="Q221">
        <v>1</v>
      </c>
      <c r="X221">
        <v>0.41</v>
      </c>
      <c r="Y221">
        <v>0</v>
      </c>
      <c r="Z221">
        <v>0</v>
      </c>
      <c r="AA221">
        <v>0</v>
      </c>
      <c r="AB221">
        <v>12.56</v>
      </c>
      <c r="AC221">
        <v>0</v>
      </c>
      <c r="AD221">
        <v>1</v>
      </c>
      <c r="AE221">
        <v>1</v>
      </c>
      <c r="AF221" t="s">
        <v>374</v>
      </c>
      <c r="AG221">
        <v>0.49199999999999994</v>
      </c>
      <c r="AH221">
        <v>2</v>
      </c>
      <c r="AI221">
        <v>44571748</v>
      </c>
      <c r="AJ221">
        <v>216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ROW(Source!A300)</f>
        <v>300</v>
      </c>
      <c r="B222">
        <v>44571752</v>
      </c>
      <c r="C222">
        <v>44571747</v>
      </c>
      <c r="D222">
        <v>121548</v>
      </c>
      <c r="E222">
        <v>1</v>
      </c>
      <c r="F222">
        <v>1</v>
      </c>
      <c r="G222">
        <v>1</v>
      </c>
      <c r="H222">
        <v>1</v>
      </c>
      <c r="I222" t="s">
        <v>28</v>
      </c>
      <c r="K222" t="s">
        <v>446</v>
      </c>
      <c r="L222">
        <v>608254</v>
      </c>
      <c r="N222">
        <v>1013</v>
      </c>
      <c r="O222" t="s">
        <v>447</v>
      </c>
      <c r="P222" t="s">
        <v>447</v>
      </c>
      <c r="Q222">
        <v>1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2</v>
      </c>
      <c r="AG222">
        <v>0</v>
      </c>
      <c r="AH222">
        <v>2</v>
      </c>
      <c r="AI222">
        <v>44571749</v>
      </c>
      <c r="AJ222">
        <v>217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>
        <f>ROW(Source!A300)</f>
        <v>300</v>
      </c>
      <c r="B223">
        <v>44571753</v>
      </c>
      <c r="C223">
        <v>44571747</v>
      </c>
      <c r="D223">
        <v>9907306</v>
      </c>
      <c r="E223">
        <v>1</v>
      </c>
      <c r="F223">
        <v>1</v>
      </c>
      <c r="G223">
        <v>1</v>
      </c>
      <c r="H223">
        <v>1</v>
      </c>
      <c r="I223" t="s">
        <v>725</v>
      </c>
      <c r="K223" t="s">
        <v>726</v>
      </c>
      <c r="L223">
        <v>1191</v>
      </c>
      <c r="N223">
        <v>1013</v>
      </c>
      <c r="O223" t="s">
        <v>445</v>
      </c>
      <c r="P223" t="s">
        <v>445</v>
      </c>
      <c r="Q223">
        <v>1</v>
      </c>
      <c r="X223">
        <v>0.41</v>
      </c>
      <c r="Y223">
        <v>0</v>
      </c>
      <c r="Z223">
        <v>0</v>
      </c>
      <c r="AA223">
        <v>0</v>
      </c>
      <c r="AB223">
        <v>12.34</v>
      </c>
      <c r="AC223">
        <v>0</v>
      </c>
      <c r="AD223">
        <v>1</v>
      </c>
      <c r="AE223">
        <v>1</v>
      </c>
      <c r="AF223" t="s">
        <v>374</v>
      </c>
      <c r="AG223">
        <v>0.49199999999999994</v>
      </c>
      <c r="AH223">
        <v>2</v>
      </c>
      <c r="AI223">
        <v>44571750</v>
      </c>
      <c r="AJ223">
        <v>218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>
        <f>ROW(Source!A301)</f>
        <v>301</v>
      </c>
      <c r="B224">
        <v>44571758</v>
      </c>
      <c r="C224">
        <v>44571754</v>
      </c>
      <c r="D224">
        <v>9908273</v>
      </c>
      <c r="E224">
        <v>1</v>
      </c>
      <c r="F224">
        <v>1</v>
      </c>
      <c r="G224">
        <v>1</v>
      </c>
      <c r="H224">
        <v>1</v>
      </c>
      <c r="I224" t="s">
        <v>723</v>
      </c>
      <c r="K224" t="s">
        <v>724</v>
      </c>
      <c r="L224">
        <v>1191</v>
      </c>
      <c r="N224">
        <v>1013</v>
      </c>
      <c r="O224" t="s">
        <v>445</v>
      </c>
      <c r="P224" t="s">
        <v>445</v>
      </c>
      <c r="Q224">
        <v>1</v>
      </c>
      <c r="X224">
        <v>0.16</v>
      </c>
      <c r="Y224">
        <v>0</v>
      </c>
      <c r="Z224">
        <v>0</v>
      </c>
      <c r="AA224">
        <v>0</v>
      </c>
      <c r="AB224">
        <v>12.56</v>
      </c>
      <c r="AC224">
        <v>0</v>
      </c>
      <c r="AD224">
        <v>1</v>
      </c>
      <c r="AE224">
        <v>1</v>
      </c>
      <c r="AF224" t="s">
        <v>374</v>
      </c>
      <c r="AG224">
        <v>0.192</v>
      </c>
      <c r="AH224">
        <v>2</v>
      </c>
      <c r="AI224">
        <v>44571755</v>
      </c>
      <c r="AJ224">
        <v>219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>
        <f>ROW(Source!A301)</f>
        <v>301</v>
      </c>
      <c r="B225">
        <v>44571759</v>
      </c>
      <c r="C225">
        <v>44571754</v>
      </c>
      <c r="D225">
        <v>121548</v>
      </c>
      <c r="E225">
        <v>1</v>
      </c>
      <c r="F225">
        <v>1</v>
      </c>
      <c r="G225">
        <v>1</v>
      </c>
      <c r="H225">
        <v>1</v>
      </c>
      <c r="I225" t="s">
        <v>28</v>
      </c>
      <c r="K225" t="s">
        <v>446</v>
      </c>
      <c r="L225">
        <v>608254</v>
      </c>
      <c r="N225">
        <v>1013</v>
      </c>
      <c r="O225" t="s">
        <v>447</v>
      </c>
      <c r="P225" t="s">
        <v>447</v>
      </c>
      <c r="Q225">
        <v>1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2</v>
      </c>
      <c r="AG225">
        <v>0</v>
      </c>
      <c r="AH225">
        <v>2</v>
      </c>
      <c r="AI225">
        <v>44571756</v>
      </c>
      <c r="AJ225">
        <v>220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>
        <f>ROW(Source!A301)</f>
        <v>301</v>
      </c>
      <c r="B226">
        <v>44571760</v>
      </c>
      <c r="C226">
        <v>44571754</v>
      </c>
      <c r="D226">
        <v>9907306</v>
      </c>
      <c r="E226">
        <v>1</v>
      </c>
      <c r="F226">
        <v>1</v>
      </c>
      <c r="G226">
        <v>1</v>
      </c>
      <c r="H226">
        <v>1</v>
      </c>
      <c r="I226" t="s">
        <v>725</v>
      </c>
      <c r="K226" t="s">
        <v>726</v>
      </c>
      <c r="L226">
        <v>1191</v>
      </c>
      <c r="N226">
        <v>1013</v>
      </c>
      <c r="O226" t="s">
        <v>445</v>
      </c>
      <c r="P226" t="s">
        <v>445</v>
      </c>
      <c r="Q226">
        <v>1</v>
      </c>
      <c r="X226">
        <v>0.16</v>
      </c>
      <c r="Y226">
        <v>0</v>
      </c>
      <c r="Z226">
        <v>0</v>
      </c>
      <c r="AA226">
        <v>0</v>
      </c>
      <c r="AB226">
        <v>12.34</v>
      </c>
      <c r="AC226">
        <v>0</v>
      </c>
      <c r="AD226">
        <v>1</v>
      </c>
      <c r="AE226">
        <v>1</v>
      </c>
      <c r="AF226" t="s">
        <v>374</v>
      </c>
      <c r="AG226">
        <v>0.192</v>
      </c>
      <c r="AH226">
        <v>2</v>
      </c>
      <c r="AI226">
        <v>44571757</v>
      </c>
      <c r="AJ226">
        <v>221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kuznecova</cp:lastModifiedBy>
  <cp:lastPrinted>2023-09-15T05:54:12Z</cp:lastPrinted>
  <dcterms:modified xsi:type="dcterms:W3CDTF">2023-09-15T10:57:26Z</dcterms:modified>
  <cp:category/>
  <cp:version/>
  <cp:contentType/>
  <cp:contentStatus/>
</cp:coreProperties>
</file>